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GIS\21-NAT-003\Published Protocols for Review 240222\"/>
    </mc:Choice>
  </mc:AlternateContent>
  <xr:revisionPtr revIDLastSave="0" documentId="13_ncr:1_{9511A54F-1EEF-4DC6-8476-08E48E89A658}" xr6:coauthVersionLast="47" xr6:coauthVersionMax="47" xr10:uidLastSave="{00000000-0000-0000-0000-000000000000}"/>
  <workbookProtection workbookAlgorithmName="SHA-512" workbookHashValue="FpTNwhZ4BMyHGl/J2M5IJrAS1nS5GL1yYCFXfeaMtyIoo0k/w/2Jr1TGhiCX0CjVyOuEkHV301qA8U97wm0fcA==" workbookSaltValue="mur/YTBuZ/J6cffVeb3DkQ==" workbookSpinCount="100000" lockStructure="1"/>
  <bookViews>
    <workbookView xWindow="-120" yWindow="-120" windowWidth="29040" windowHeight="15720" xr2:uid="{00000000-000D-0000-FFFF-FFFF00000000}"/>
  </bookViews>
  <sheets>
    <sheet name="Front Sheet" sheetId="5" r:id="rId1"/>
    <sheet name="1. Pre-Restoration Likelihood" sheetId="1" r:id="rId2"/>
    <sheet name="2. Post-restoration Likelihood" sheetId="2" r:id="rId3"/>
    <sheet name="3. Consequence and Risk" sheetId="3" r:id="rId4"/>
    <sheet name="Summary Form" sheetId="4" r:id="rId5"/>
    <sheet name="Drop Down Options" sheetId="6" state="hidden" r:id="rId6"/>
  </sheets>
  <definedNames>
    <definedName name="_xlnm._FilterDatabase" localSheetId="4" hidden="1">'Summary Form'!$D$13:$F$13</definedName>
    <definedName name="_xlnm.Print_Area" localSheetId="4">'Summary Form'!$A$1:$I$54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9" i="3" l="1"/>
  <c r="E13" i="2" l="1"/>
  <c r="E39" i="2"/>
  <c r="E38" i="2"/>
  <c r="E12" i="2"/>
  <c r="E11" i="2"/>
  <c r="E37" i="2"/>
  <c r="E36" i="2"/>
  <c r="E10" i="2"/>
  <c r="E9" i="2"/>
  <c r="N28" i="3" l="1"/>
  <c r="N20" i="3"/>
  <c r="N9" i="3"/>
  <c r="N15" i="3"/>
  <c r="L29" i="3" l="1"/>
  <c r="L28" i="3"/>
  <c r="L25" i="3" l="1"/>
  <c r="L24" i="3"/>
  <c r="L22" i="3"/>
  <c r="L21" i="3"/>
  <c r="L16" i="3"/>
  <c r="L20" i="3"/>
  <c r="L15" i="3"/>
  <c r="L9" i="3"/>
  <c r="L8" i="3"/>
  <c r="L10" i="3"/>
  <c r="L7" i="3" l="1"/>
  <c r="F33" i="2" l="1"/>
  <c r="F32" i="2"/>
  <c r="F31" i="2"/>
  <c r="F29" i="2"/>
  <c r="F28" i="2"/>
  <c r="F25" i="2"/>
  <c r="F23" i="2"/>
  <c r="F22" i="2"/>
  <c r="F21" i="2"/>
  <c r="F19" i="2"/>
  <c r="F18" i="2"/>
  <c r="F16" i="2"/>
  <c r="F15" i="2"/>
  <c r="F39" i="2"/>
  <c r="F38" i="2"/>
  <c r="F37" i="2"/>
  <c r="F36" i="2"/>
  <c r="F35" i="2"/>
  <c r="E35" i="2"/>
  <c r="F12" i="2"/>
  <c r="F11" i="2"/>
  <c r="F10" i="2"/>
  <c r="F9" i="2"/>
  <c r="F8" i="2"/>
  <c r="N98" i="1"/>
  <c r="M98" i="1"/>
  <c r="L101" i="1"/>
  <c r="F43" i="2" l="1"/>
  <c r="F42" i="2"/>
  <c r="F41" i="2"/>
  <c r="E8" i="2"/>
  <c r="L43" i="3" l="1"/>
  <c r="L42" i="3"/>
  <c r="L23" i="3"/>
  <c r="C54" i="4" l="1"/>
  <c r="L31" i="3" l="1"/>
  <c r="L30" i="3"/>
  <c r="E33" i="2"/>
  <c r="E32" i="2"/>
  <c r="E31" i="2"/>
  <c r="E29" i="2"/>
  <c r="E28" i="2"/>
  <c r="E25" i="2"/>
  <c r="E22" i="2"/>
  <c r="E23" i="2"/>
  <c r="E21" i="2"/>
  <c r="E19" i="2"/>
  <c r="E18" i="2"/>
  <c r="E16" i="2"/>
  <c r="E15" i="2"/>
  <c r="N111" i="1" l="1"/>
  <c r="M111" i="1"/>
  <c r="N85" i="1"/>
  <c r="M85" i="1"/>
  <c r="N72" i="1"/>
  <c r="M72" i="1"/>
  <c r="N59" i="1"/>
  <c r="M59" i="1"/>
  <c r="N47" i="1"/>
  <c r="M47" i="1"/>
  <c r="N35" i="1"/>
  <c r="M35" i="1"/>
  <c r="N20" i="1"/>
  <c r="M20" i="1"/>
  <c r="N6" i="1"/>
  <c r="M6" i="1"/>
  <c r="L35" i="3" l="1"/>
  <c r="L34" i="3"/>
  <c r="L36" i="3"/>
  <c r="L37" i="3"/>
  <c r="L38" i="3"/>
  <c r="L14" i="3" l="1"/>
  <c r="E18" i="6" l="1"/>
  <c r="G18" i="6" s="1"/>
  <c r="F17" i="6"/>
  <c r="E17" i="6"/>
  <c r="F16" i="6"/>
  <c r="E16" i="6"/>
  <c r="F15" i="6"/>
  <c r="E15" i="6"/>
  <c r="F14" i="6"/>
  <c r="E14" i="6"/>
  <c r="F13" i="6"/>
  <c r="E13" i="6"/>
  <c r="F12" i="6"/>
  <c r="G12" i="6" s="1"/>
  <c r="E81" i="2"/>
  <c r="E79" i="2"/>
  <c r="E78" i="2"/>
  <c r="E75" i="2"/>
  <c r="E74" i="2"/>
  <c r="E65" i="2"/>
  <c r="E64" i="2"/>
  <c r="E63" i="2"/>
  <c r="E62" i="2"/>
  <c r="L168" i="1"/>
  <c r="L170" i="1" s="1"/>
  <c r="E82" i="2" s="1"/>
  <c r="L165" i="1"/>
  <c r="E77" i="2" s="1"/>
  <c r="L164" i="1"/>
  <c r="E76" i="2" s="1"/>
  <c r="L155" i="1"/>
  <c r="L154" i="1"/>
  <c r="E66" i="2" s="1"/>
  <c r="L148" i="1"/>
  <c r="L149" i="1" s="1"/>
  <c r="E61" i="2" s="1"/>
  <c r="L147" i="1"/>
  <c r="E59" i="2" s="1"/>
  <c r="E73" i="2" s="1"/>
  <c r="L146" i="1"/>
  <c r="L44" i="1"/>
  <c r="G14" i="6" l="1"/>
  <c r="G15" i="6"/>
  <c r="G16" i="6"/>
  <c r="E80" i="2"/>
  <c r="L171" i="1"/>
  <c r="E83" i="2" s="1"/>
  <c r="G17" i="6"/>
  <c r="L157" i="1"/>
  <c r="E69" i="2" s="1"/>
  <c r="M37" i="1"/>
  <c r="N37" i="1"/>
  <c r="G13" i="6"/>
  <c r="E67" i="2"/>
  <c r="E58" i="2"/>
  <c r="E60" i="2"/>
  <c r="M36" i="1" l="1"/>
  <c r="M137" i="1" s="1"/>
  <c r="N36" i="1"/>
  <c r="N137" i="1" s="1"/>
  <c r="L156" i="1"/>
  <c r="E68" i="2" s="1"/>
  <c r="L158" i="1" l="1"/>
  <c r="E70" i="2" s="1"/>
  <c r="E84" i="2" s="1"/>
  <c r="F84" i="2" s="1"/>
  <c r="L137" i="1"/>
  <c r="F44" i="2" l="1"/>
  <c r="C46" i="2" s="1"/>
  <c r="H26" i="4" s="1"/>
  <c r="H137" i="1"/>
  <c r="H139" i="1" s="1"/>
  <c r="L159" i="1"/>
  <c r="L172" i="1"/>
  <c r="E85" i="2"/>
  <c r="F85" i="2" s="1"/>
  <c r="E86" i="2"/>
  <c r="F86" i="2" s="1"/>
  <c r="E71" i="2"/>
  <c r="F71" i="2" s="1"/>
  <c r="E87" i="2"/>
  <c r="F87" i="2" s="1"/>
  <c r="E50" i="2" l="1"/>
  <c r="H27" i="4" s="1"/>
  <c r="M23" i="3"/>
  <c r="N23" i="3" s="1"/>
  <c r="M39" i="3"/>
  <c r="N39" i="3" s="1"/>
  <c r="L142" i="1"/>
  <c r="G19" i="4" s="1"/>
  <c r="C47" i="2"/>
  <c r="M29" i="3"/>
  <c r="N29" i="3" s="1"/>
  <c r="M38" i="3"/>
  <c r="N38" i="3" s="1"/>
  <c r="M22" i="3"/>
  <c r="N22" i="3" s="1"/>
  <c r="M16" i="3"/>
  <c r="N16" i="3" s="1"/>
  <c r="M24" i="3"/>
  <c r="N24" i="3" s="1"/>
  <c r="M25" i="3"/>
  <c r="N25" i="3" s="1"/>
  <c r="M15" i="3"/>
  <c r="M20" i="3"/>
  <c r="M21" i="3"/>
  <c r="N21" i="3" s="1"/>
  <c r="M28" i="3"/>
  <c r="M42" i="3"/>
  <c r="N42" i="3" s="1"/>
  <c r="M43" i="3"/>
  <c r="N43" i="3" s="1"/>
  <c r="M7" i="3"/>
  <c r="N7" i="3" s="1"/>
  <c r="H138" i="1"/>
  <c r="M37" i="3"/>
  <c r="N37" i="3" s="1"/>
  <c r="G18" i="4"/>
  <c r="M8" i="3"/>
  <c r="N8" i="3" s="1"/>
  <c r="M35" i="3"/>
  <c r="N35" i="3" s="1"/>
  <c r="M10" i="3"/>
  <c r="N10" i="3" s="1"/>
  <c r="M30" i="3"/>
  <c r="N30" i="3" s="1"/>
  <c r="M14" i="3"/>
  <c r="N14" i="3" s="1"/>
  <c r="M36" i="3"/>
  <c r="N36" i="3" s="1"/>
  <c r="M9" i="3"/>
  <c r="M31" i="3"/>
  <c r="N31" i="3" s="1"/>
  <c r="M34" i="3"/>
  <c r="N34" i="3" s="1"/>
  <c r="N45" i="3" l="1"/>
  <c r="F44" i="4" s="1" a="1"/>
  <c r="F44" i="4" l="1"/>
  <c r="A49" i="3"/>
  <c r="A4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Rushton</author>
  </authors>
  <commentList>
    <comment ref="L163" authorId="0" shapeId="0" xr:uid="{00000000-0006-0000-0100-000001000000}">
      <text>
        <r>
          <rPr>
            <b/>
            <sz val="9"/>
            <color indexed="81"/>
            <rFont val="Tahoma"/>
            <family val="2"/>
          </rPr>
          <t>David Rushton:</t>
        </r>
        <r>
          <rPr>
            <sz val="9"/>
            <color indexed="81"/>
            <rFont val="Tahoma"/>
            <family val="2"/>
          </rPr>
          <t xml:space="preserve">
Based on Linday (2005) indication that cracks can be as much as 70cm</t>
        </r>
      </text>
    </comment>
    <comment ref="L168" authorId="0" shapeId="0" xr:uid="{00000000-0006-0000-0100-000002000000}">
      <text>
        <r>
          <rPr>
            <b/>
            <sz val="9"/>
            <color indexed="81"/>
            <rFont val="Tahoma"/>
            <family val="2"/>
          </rPr>
          <t>David Rushton:</t>
        </r>
        <r>
          <rPr>
            <sz val="9"/>
            <color indexed="81"/>
            <rFont val="Tahoma"/>
            <family val="2"/>
          </rPr>
          <t xml:space="preserve">
Based on a sikta spruce density of 0.35g/cm3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Rushton</author>
  </authors>
  <commentList>
    <comment ref="E75" authorId="0" shapeId="0" xr:uid="{00000000-0006-0000-0200-000001000000}">
      <text>
        <r>
          <rPr>
            <b/>
            <sz val="9"/>
            <color indexed="81"/>
            <rFont val="Tahoma"/>
            <family val="2"/>
          </rPr>
          <t>David Rushton:</t>
        </r>
        <r>
          <rPr>
            <sz val="9"/>
            <color indexed="81"/>
            <rFont val="Tahoma"/>
            <family val="2"/>
          </rPr>
          <t xml:space="preserve">
Based on Linday (2005) indication that cracks can be as much as 70cm</t>
        </r>
      </text>
    </comment>
    <comment ref="E80" authorId="0" shapeId="0" xr:uid="{00000000-0006-0000-0200-000002000000}">
      <text>
        <r>
          <rPr>
            <b/>
            <sz val="9"/>
            <color indexed="81"/>
            <rFont val="Tahoma"/>
            <family val="2"/>
          </rPr>
          <t>David Rushton:</t>
        </r>
        <r>
          <rPr>
            <sz val="9"/>
            <color indexed="81"/>
            <rFont val="Tahoma"/>
            <family val="2"/>
          </rPr>
          <t xml:space="preserve">
Based on a sikta spruce density of 0.35g/cm3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<sst xmlns="http://schemas.openxmlformats.org/spreadsheetml/2006/main" count="835" uniqueCount="470">
  <si>
    <t>How to answer the question</t>
  </si>
  <si>
    <t>Forestry</t>
  </si>
  <si>
    <t>The baseline (pre-restoration) likelihood of a peat landslide is:</t>
  </si>
  <si>
    <t>MODERATE</t>
  </si>
  <si>
    <t>The most likely form of instability is:</t>
  </si>
  <si>
    <t>YES</t>
  </si>
  <si>
    <t>NO</t>
  </si>
  <si>
    <t>iii) What is the average slope angle for the hillside based on elevation data for the site?</t>
  </si>
  <si>
    <t>iv) What is the substrate?</t>
  </si>
  <si>
    <t>v) Which of the following best describes the geomorphology of the peat on site?</t>
  </si>
  <si>
    <t>vi) Are any of the following land uses present over the area to be restored?</t>
  </si>
  <si>
    <t>vii) Which of the following best describes the status and condition of forestry on site?</t>
  </si>
  <si>
    <t>viii) Which of the following best describes the slope profile of the area to be restored?</t>
  </si>
  <si>
    <t>ix) Which of the following best describes artificial drainage in the area to be restored</t>
  </si>
  <si>
    <t>Watercourse and aquatic habitats</t>
  </si>
  <si>
    <t>Terrestrial habitats</t>
  </si>
  <si>
    <t>Infrastructure</t>
  </si>
  <si>
    <t>LOW</t>
  </si>
  <si>
    <t>HIGH</t>
  </si>
  <si>
    <t>VERY HIGH</t>
  </si>
  <si>
    <t>VERY LOW</t>
  </si>
  <si>
    <t>MEDIUM</t>
  </si>
  <si>
    <t>NEGLIGIBLE</t>
  </si>
  <si>
    <t>Mitigation</t>
  </si>
  <si>
    <t>1. Which restoration measures are being adopted?</t>
  </si>
  <si>
    <t>i) Are there any pre-existing peat landslide scars within the area to be restored or nearby?</t>
  </si>
  <si>
    <t>Is there any evidence of a pre-existing peat slide or bog burst within the area to be restored, on the adjacent hillsides, on the other side of the hill or on the opposing valley side. See "How to answer" for examples.</t>
  </si>
  <si>
    <t>Likelihood Scores</t>
  </si>
  <si>
    <t>Peat Slide</t>
  </si>
  <si>
    <t>Bog Burst</t>
  </si>
  <si>
    <t>Enter the slope angle as a 'gradient' (in %), e.g. if using Google Earth's elevation profile tool:</t>
  </si>
  <si>
    <t>Enter the 'rise' (elevation change in m) and 'run' (distance in m over which elevation changes):</t>
  </si>
  <si>
    <t>Enter slope angle:</t>
  </si>
  <si>
    <t>Rise:</t>
  </si>
  <si>
    <t>Run:</t>
  </si>
  <si>
    <t>Angle:</t>
  </si>
  <si>
    <t>Gradient (%):</t>
  </si>
  <si>
    <t>Cohesive (clay) or iron pan</t>
  </si>
  <si>
    <t>Unknown</t>
  </si>
  <si>
    <t>Granular or bedrock</t>
  </si>
  <si>
    <t>What is the material immediately underlying the peat (i.e. within a few centimetres) primarily made up of?</t>
  </si>
  <si>
    <t>See "How to answer" for further guidance.</t>
  </si>
  <si>
    <t>See how to answer for further guidance.</t>
  </si>
  <si>
    <t>Planar with pipes</t>
  </si>
  <si>
    <t>Planar with pools</t>
  </si>
  <si>
    <t>Planar (no other features)</t>
  </si>
  <si>
    <t>Undulating peat among rock outcrops</t>
  </si>
  <si>
    <t>Heavily eroded (extensive hagging)</t>
  </si>
  <si>
    <t>Slightly eroded (isolated gullies)</t>
  </si>
  <si>
    <t>What is the natural geomorphological condition of the area to be restored. This is best determined from either site walkover or review of up-to-date satellite imagery - see "How to answer" for a visual glossary of geomorphological features.</t>
  </si>
  <si>
    <t>Machine cutting</t>
  </si>
  <si>
    <t>Hand cutting (turbary)</t>
  </si>
  <si>
    <t>Other land use</t>
  </si>
  <si>
    <t>What is the primary land use of the area to be restored. This is best determined from site walkover but can also be determined from satellite imagery for some categories of land use.</t>
  </si>
  <si>
    <t>ii) What is the average peat depth (in m) based on the probes collected from site?</t>
  </si>
  <si>
    <t>Afforested, rows aligned</t>
  </si>
  <si>
    <t>Afforested, rows oblique</t>
  </si>
  <si>
    <t>Deforested, rows aligned</t>
  </si>
  <si>
    <t>Deforested, rows oblique</t>
  </si>
  <si>
    <t>Not afforested</t>
  </si>
  <si>
    <t>What is the slope profile (shape as if 'side on') of the hillslope over which restoration is to be carried out. This can be inferred from changes in contour spacing or using Google Earth's elevation profile tool - see "How to answer" guidance.</t>
  </si>
  <si>
    <t>Sheet 2. Post-restoration likelihood</t>
  </si>
  <si>
    <t>Sheet 1. Pre-Restoration Likelihood</t>
  </si>
  <si>
    <t>Convex</t>
  </si>
  <si>
    <t>Concave</t>
  </si>
  <si>
    <t>Rectilinear</t>
  </si>
  <si>
    <t>If the site is afforested over most of the proposed restoration area, please refer to the "How to answer" guidance in order to classify the alignmentof trees (rows) and present (pre-restoration) status of the forest (e.g. felled or afforested). If the site is part-forested, consider splitting the site into separate protocol workbooks.</t>
  </si>
  <si>
    <t>How are the artificial drains on site arranged in the area to be restored? If the site is afforested, drains will be visible as narrow linear breaks in the treeline, often cross-cutting rows of trees. See "How to answer" guidance to help determine drain orientation.</t>
  </si>
  <si>
    <t>Aligned to contour</t>
  </si>
  <si>
    <t>Oblique to contour</t>
  </si>
  <si>
    <t>Aligned to slope</t>
  </si>
  <si>
    <t>Not drained</t>
  </si>
  <si>
    <t>Qualitative description of landslide at the site</t>
  </si>
  <si>
    <t>This means that a landslide at the site is:</t>
  </si>
  <si>
    <t>Based on the landslide susceptibility (contributory factor) approach:</t>
  </si>
  <si>
    <t>Based on the factor of safety (limit equilibrium) approach:</t>
  </si>
  <si>
    <t>x) What type of peat is found at the base of the area to be restored</t>
  </si>
  <si>
    <t>The baseline factor of safety for average site conditions in a fully saturated slope (i.e. ground surface water table) is:</t>
  </si>
  <si>
    <t>The physical composition of the peat at the base of the peat profile (within a few centimetres of its contact with the substrate) provides an indication of its shear strength. Using the simplified descriptions in the "How to answer" guidance, enter the description that best suits the peat observed at site. If no information is entered, the Factor of Safety approach will not be used for comparison.</t>
  </si>
  <si>
    <t>Select 'YES' or 'NO' for all measures being adopted from the list of restoration techniques below.</t>
  </si>
  <si>
    <t>Ditch-blocking (wooden or composite dams)</t>
  </si>
  <si>
    <t>Ditch-blocking (wave dams)</t>
  </si>
  <si>
    <t>Cell / surface bunding</t>
  </si>
  <si>
    <t>Gully reprofiling</t>
  </si>
  <si>
    <t>Gully damming / bunding</t>
  </si>
  <si>
    <t>Forest to bog: tree removal</t>
  </si>
  <si>
    <t>Forest to bog: ground smoothing / stump flipping</t>
  </si>
  <si>
    <t>Scrub removal</t>
  </si>
  <si>
    <t>Net effect on stability</t>
  </si>
  <si>
    <t>Stump flipping only</t>
  </si>
  <si>
    <t>The post-restoration (modified) likelihood of a peat landslide is:</t>
  </si>
  <si>
    <t>Modified likelihood</t>
  </si>
  <si>
    <t>STEP 2. Calculate the post-restoration likelihood of a peat landslide, i.e. the effects of restoration groundworks on the natural likelihood</t>
  </si>
  <si>
    <t>Based on the Factor of Safety approach:</t>
  </si>
  <si>
    <t>Peat Depths</t>
  </si>
  <si>
    <t>1.0 - 1.5</t>
  </si>
  <si>
    <t>0.5 - 1.0</t>
  </si>
  <si>
    <t>1.5 - 2.0</t>
  </si>
  <si>
    <t>2.0 - 2.5</t>
  </si>
  <si>
    <t>2.5 - 3.0</t>
  </si>
  <si>
    <t>3.0 - 3.5</t>
  </si>
  <si>
    <t>3.5 - 4.0</t>
  </si>
  <si>
    <t>4.0 - 4.5</t>
  </si>
  <si>
    <t>4.5 - 5.0</t>
  </si>
  <si>
    <t>5.0 - 5.5</t>
  </si>
  <si>
    <t>5.5 - 6.0</t>
  </si>
  <si>
    <t>6.0 - 6.5</t>
  </si>
  <si>
    <t>6.5 - 7.0</t>
  </si>
  <si>
    <t>7.0 - 7.5</t>
  </si>
  <si>
    <t>7.5 - 8.0</t>
  </si>
  <si>
    <t>8.0 - 8.5</t>
  </si>
  <si>
    <t>8.5 - 9.0</t>
  </si>
  <si>
    <t>9.0 - 9.5</t>
  </si>
  <si>
    <t>9.5 - 10.0</t>
  </si>
  <si>
    <t>0.0 - 0.5</t>
  </si>
  <si>
    <t>2.5 - 5.0</t>
  </si>
  <si>
    <t>5.0 - 7.5</t>
  </si>
  <si>
    <t>10.0 - 12.5</t>
  </si>
  <si>
    <t>12.5 - 15.0</t>
  </si>
  <si>
    <t>7.5 - 10.0</t>
  </si>
  <si>
    <t>0.0 - 2.5</t>
  </si>
  <si>
    <t>&gt;15.0</t>
  </si>
  <si>
    <t>Stump flipping and brash incorporation</t>
  </si>
  <si>
    <t>Stump flipping, brash and stem incorporation</t>
  </si>
  <si>
    <t>For non-afforested bogs only</t>
  </si>
  <si>
    <t>For afforested bogs only:</t>
  </si>
  <si>
    <t>Sheet 3. Consequence and Risk</t>
  </si>
  <si>
    <t>CONSEQUENCE</t>
  </si>
  <si>
    <t>RISK (LIKELIHOOD = MODERATE)</t>
  </si>
  <si>
    <t>RISK (LIKELIHOOD = HIGH)</t>
  </si>
  <si>
    <t>RISK (LIKELIHOOD = VERY HIGH)</t>
  </si>
  <si>
    <t>If yes, go to next question and if no, go to question 3</t>
  </si>
  <si>
    <t>Presence of watercourse:</t>
  </si>
  <si>
    <t>3. Which of the following applies to the terrestrial habitats on site?</t>
  </si>
  <si>
    <t>Groundwater dependent terrestrial ecosystems (GWDTEs) are present</t>
  </si>
  <si>
    <t>Permanently occupied facility (e.g. house, office, other amenity)</t>
  </si>
  <si>
    <t>Public exposure</t>
  </si>
  <si>
    <t>Public road</t>
  </si>
  <si>
    <t>Railway line</t>
  </si>
  <si>
    <t>Power generation facility (towers, turbines, buried cables, substations, etc)</t>
  </si>
  <si>
    <t>3. Calculate the consequences should a landslide occur</t>
  </si>
  <si>
    <t>Hidden</t>
  </si>
  <si>
    <t>very unlikely given the proposed restoration techniques</t>
  </si>
  <si>
    <t>unlikely given the proposed restoration techniques</t>
  </si>
  <si>
    <t>possible, given the proposed restoration techniques, A CONSEQUENCE ASSESSMENT IS REQUIRED</t>
  </si>
  <si>
    <t>likely, given the proposed restoration techniques, A CONSEQUENCE ASSESSMENT IS REQUIRED</t>
  </si>
  <si>
    <t>very likely, given the proposed restoration techniques, RESTORATION IS NOT ADVISED</t>
  </si>
  <si>
    <t>Type of peat</t>
  </si>
  <si>
    <t>Fibrous</t>
  </si>
  <si>
    <t>Pseudo-fibrous</t>
  </si>
  <si>
    <t>Amorphous</t>
  </si>
  <si>
    <t>Slope (°)</t>
  </si>
  <si>
    <t>Gradient (%)</t>
  </si>
  <si>
    <t>Consequence</t>
  </si>
  <si>
    <t>PR Likelihood</t>
  </si>
  <si>
    <t>No scores required</t>
  </si>
  <si>
    <r>
      <t xml:space="preserve">Enter data for only </t>
    </r>
    <r>
      <rPr>
        <b/>
        <i/>
        <u/>
        <sz val="11"/>
        <color theme="1"/>
        <rFont val="Calibri"/>
        <family val="2"/>
        <scheme val="minor"/>
      </rPr>
      <t>one</t>
    </r>
    <r>
      <rPr>
        <i/>
        <sz val="11"/>
        <color theme="1"/>
        <rFont val="Calibri"/>
        <family val="2"/>
        <scheme val="minor"/>
      </rPr>
      <t xml:space="preserve"> of the following:</t>
    </r>
  </si>
  <si>
    <t>CALCULATED RISK</t>
  </si>
  <si>
    <t>If either 'peat slides' or 'bog bursts' are present, enter YES as the answer to question i).</t>
  </si>
  <si>
    <t>Answers Required</t>
  </si>
  <si>
    <t>Further Information</t>
  </si>
  <si>
    <t>Qualitative descriptions of post-restoration likelihood</t>
  </si>
  <si>
    <t>Qualitative descriptions of post-restoration risk</t>
  </si>
  <si>
    <t>Given that risk has been calculated to be LOW, restoration may continue as planned.</t>
  </si>
  <si>
    <t>Given that risk has been calculated to be MEDIUM, a change in restoration technique should be considered (see below) or the site should be split into smaller units and re-assessed.</t>
  </si>
  <si>
    <t>Given that risk has been calculated to be HIGH, restoration proposals should be revised or parked (see below).</t>
  </si>
  <si>
    <t>Ground conditions suggest significant potential for instability both under natural conditions and as modified by restoration. Significant changes to restoration proposals will be required to reduce risks to acceptable levels.</t>
  </si>
  <si>
    <t>Alternative restoration proposals may represent a lower risk. Consider modifying the techniques in STEP 2 until a risk of LOW or NEGLIGIBLE is calculated.
If a lower risk cannot be calculated by changing restoration proposals, consider subdividing the site so that the factors controlling likelihood vary between areas.</t>
  </si>
  <si>
    <t xml:space="preserve">Step 1:   </t>
  </si>
  <si>
    <t xml:space="preserve">Step 2:   </t>
  </si>
  <si>
    <t xml:space="preserve">Step 3:   </t>
  </si>
  <si>
    <t>Determine the likelihood of a peat landslide to occur under natural (baseline) conditions, by answering a series of questions that relate to ground conditions at the proposed restoration site.</t>
  </si>
  <si>
    <t>Determine the impact of proposed restoration techniques on this likelihood by answering a series of questions relating to proposed restoration.</t>
  </si>
  <si>
    <t>If required, identify potential consequences and associated risks by answering a series of questions about 'receptors' within and adjacent to the site.</t>
  </si>
  <si>
    <t>OR, select a representative peat depth using data from the area to be restored (see right)</t>
  </si>
  <si>
    <t>EITHER total the peat depths across all samples and divide by the number of samples (see right)</t>
  </si>
  <si>
    <t>EITHER draw a path in Google Earth and use the "Elevation Profile" tool to read off the "Avg. Slope" value and select the corresponding range in the Gradient (%) box</t>
  </si>
  <si>
    <t>Useful links:</t>
  </si>
  <si>
    <t>https://www.google.co.uk/earth/download/gep/agree.html</t>
  </si>
  <si>
    <t>https://magic.defra.gov.uk/MagicMap.aspx</t>
  </si>
  <si>
    <t>http://mapapps.bgs.ac.uk/geologyofbritain/home.html?</t>
  </si>
  <si>
    <t>BGS Geology of Britain online viewer</t>
  </si>
  <si>
    <t>MagicMap online viewer</t>
  </si>
  <si>
    <t>Google Earth Pro download</t>
  </si>
  <si>
    <t>EITHER use observations from site (e.g. at the base of the peat profile, as observed in gullies, drains, cuttings, stream margins)</t>
  </si>
  <si>
    <t>OR refer to BGS "superficial" geology layer in the Open Geology of Britain Viewer. Where 'None recorded', enter 'Unknown' in substrate box</t>
  </si>
  <si>
    <t>At the conclusion of Step 3, it may be necessary to subdivide the restoration site into smaller units (the site is initially considered using 'site average' values in the answer to each question). If this is the case, new versions of the workbook should be created and saved with filenames corresponding to each section. Further information is provided in Chapter 6 of the accompanying report. The 'Summary Form' provides a single page printable summary of inputs and results.</t>
  </si>
  <si>
    <t>Refer to the visual glossary of drain orientation (right) and use MagicMaps to determine slope direction (from contours). Use the 'majority' of drains to inform the answer.</t>
  </si>
  <si>
    <t>How deep is the peat on average across the area to be developed, if restoration works are to be focused in an area that is not representative of the average peat depth (e.g. in a locally deep area), select a value that corresponds to this area instead. See "How to answer" for further guidance.</t>
  </si>
  <si>
    <t>very unlikely given the baseline conditions observed over the restoration area</t>
  </si>
  <si>
    <t>unlikely given the baseline conditions observed over the restoration area</t>
  </si>
  <si>
    <t>possible, given baseline conditions and the occurrence of a triggering event (e.g. intense rainfall, pipe collapse, adverse loading) somewhere within the restoration area</t>
  </si>
  <si>
    <t>likely, given baseline conditions and the occurrence of a triggering event (e.g. intense rainfall, pipe collapse, adverse loading) somewhere within the restoration area</t>
  </si>
  <si>
    <t>very likely, given baseline conditions and the occurrence of a triggering event (e.g. intense rainfall, pipe collapse, adverse loading) somewhere within the restoration area</t>
  </si>
  <si>
    <t>H10</t>
  </si>
  <si>
    <t>H8 - H6</t>
  </si>
  <si>
    <t>H3 - H5</t>
  </si>
  <si>
    <t>Low Estimate</t>
  </si>
  <si>
    <t>High Estimate</t>
  </si>
  <si>
    <t>c'</t>
  </si>
  <si>
    <t>kPa</t>
  </si>
  <si>
    <t>φ'</t>
  </si>
  <si>
    <t>°</t>
  </si>
  <si>
    <t>γ</t>
  </si>
  <si>
    <t>kN/m3</t>
  </si>
  <si>
    <t>FOS Calculation</t>
  </si>
  <si>
    <t>Parameter</t>
  </si>
  <si>
    <t>Symbol</t>
  </si>
  <si>
    <t>Unit</t>
  </si>
  <si>
    <t>Value</t>
  </si>
  <si>
    <t>-</t>
  </si>
  <si>
    <t>Effective cohesion</t>
  </si>
  <si>
    <t>Effective angle of internal friction</t>
  </si>
  <si>
    <t>Unit weight (peat)</t>
  </si>
  <si>
    <t>Unit weight (peat, submerged)</t>
  </si>
  <si>
    <t>γ'</t>
  </si>
  <si>
    <t>Unit weight (water)</t>
  </si>
  <si>
    <t>γw</t>
  </si>
  <si>
    <t>Height of water table / z</t>
  </si>
  <si>
    <t>h</t>
  </si>
  <si>
    <t>m</t>
  </si>
  <si>
    <t>Slope length</t>
  </si>
  <si>
    <t>L</t>
  </si>
  <si>
    <t>Slope width</t>
  </si>
  <si>
    <t>W</t>
  </si>
  <si>
    <t>Peat Thickness</t>
  </si>
  <si>
    <t>z</t>
  </si>
  <si>
    <t>FOS Value [m]</t>
  </si>
  <si>
    <t>FOS Value [°]</t>
  </si>
  <si>
    <t>Thickness [m]</t>
  </si>
  <si>
    <t>θ</t>
  </si>
  <si>
    <t>Peat Slope Angle</t>
  </si>
  <si>
    <t>Peat Gradient</t>
  </si>
  <si>
    <t>Peat Rise/Run</t>
  </si>
  <si>
    <t>grad</t>
  </si>
  <si>
    <t>r/r</t>
  </si>
  <si>
    <t>Slope Angle for Calculation</t>
  </si>
  <si>
    <t>θmax</t>
  </si>
  <si>
    <t>Hide these rows</t>
  </si>
  <si>
    <t>FOS</t>
  </si>
  <si>
    <t>F</t>
  </si>
  <si>
    <t>Passive earth pressure coefficient</t>
  </si>
  <si>
    <t>Kp</t>
  </si>
  <si>
    <t>Furrow depth</t>
  </si>
  <si>
    <t>zf</t>
  </si>
  <si>
    <t>Crack depth</t>
  </si>
  <si>
    <t>zc</t>
  </si>
  <si>
    <t>Total drawdown depth</t>
  </si>
  <si>
    <t>zd</t>
  </si>
  <si>
    <t>Tree spatial density (2m separation)</t>
  </si>
  <si>
    <t>Td</t>
  </si>
  <si>
    <t>tree/m2</t>
  </si>
  <si>
    <t>Tree height</t>
  </si>
  <si>
    <t>ht</t>
  </si>
  <si>
    <t>Tree diameter</t>
  </si>
  <si>
    <r>
      <rPr>
        <sz val="11"/>
        <color theme="1"/>
        <rFont val="Calibri"/>
        <family val="2"/>
      </rPr>
      <t>Ø</t>
    </r>
    <r>
      <rPr>
        <sz val="6.05"/>
        <color theme="1"/>
        <rFont val="Calibri"/>
        <family val="2"/>
      </rPr>
      <t>t</t>
    </r>
  </si>
  <si>
    <t>Tree density</t>
  </si>
  <si>
    <r>
      <rPr>
        <sz val="11"/>
        <color theme="1"/>
        <rFont val="Calibri"/>
        <family val="2"/>
      </rPr>
      <t>γ</t>
    </r>
    <r>
      <rPr>
        <sz val="6.05"/>
        <color theme="1"/>
        <rFont val="Calibri"/>
        <family val="2"/>
      </rPr>
      <t>t</t>
    </r>
  </si>
  <si>
    <t>Tree root/shoot ratio</t>
  </si>
  <si>
    <t>r-s</t>
  </si>
  <si>
    <t>Tree vertical force</t>
  </si>
  <si>
    <t>Ft</t>
  </si>
  <si>
    <t>kN</t>
  </si>
  <si>
    <t>Average tree pressure</t>
  </si>
  <si>
    <t>Pt</t>
  </si>
  <si>
    <t>FOS (pre-restoration)</t>
  </si>
  <si>
    <t>FOS (buttressed)</t>
  </si>
  <si>
    <t>FOS (forested)</t>
  </si>
  <si>
    <t>FOS afforested</t>
  </si>
  <si>
    <t>FOS (deforested)</t>
  </si>
  <si>
    <t>FOS (deforested and buttressed)</t>
  </si>
  <si>
    <t>Hide these tables</t>
  </si>
  <si>
    <t>The modified factor of safety post-restoration* is:</t>
  </si>
  <si>
    <r>
      <rPr>
        <sz val="11"/>
        <color theme="1"/>
        <rFont val="Calibri"/>
        <family val="2"/>
      </rPr>
      <t xml:space="preserve">   •</t>
    </r>
    <r>
      <rPr>
        <i/>
        <sz val="11"/>
        <color theme="1"/>
        <rFont val="Calibri"/>
        <family val="2"/>
        <scheme val="minor"/>
      </rPr>
      <t xml:space="preserve"> gully reprofiling / damming / bunding (by application of buttressing)</t>
    </r>
  </si>
  <si>
    <t>OR use contours on MagicMap to determine 'rise and run' and enter values in Rise and Run boxes
OR enter value from DTM of site</t>
  </si>
  <si>
    <t>EITHER use site observations or refer to the visual glossary of peatland geomorphology to the right:</t>
  </si>
  <si>
    <t>EITHER use site observations or refer to the visual glossary of land uses to the right:</t>
  </si>
  <si>
    <t xml:space="preserve">1. Do "blueline" watercourses occur within 500m of the area to be restored (either on the slope or at its foot)? </t>
  </si>
  <si>
    <t>Report Section 4.2.1.1</t>
  </si>
  <si>
    <t>For a walk through guide to both Google Earth and MagicMap, click here:</t>
  </si>
  <si>
    <t>Report Section 2.1</t>
  </si>
  <si>
    <t>Type of Peat</t>
  </si>
  <si>
    <t>von Post</t>
  </si>
  <si>
    <t>Description</t>
  </si>
  <si>
    <t>Plant remains clearly recognisable and retain some tensile strength. Water and  no solids on squeezing.</t>
  </si>
  <si>
    <t>Mixture of fibres and amorphous paste. Turbid water and &lt;50% solids on squeezing.</t>
  </si>
  <si>
    <t>No recognisable plant remains, mushy consistency. Paste and &gt;50% solids on squeezing.</t>
  </si>
  <si>
    <t>H6 - H8</t>
  </si>
  <si>
    <t>Refer to the table to the right to determine the type of peat (requires site observations or field logs of peat character, e.g.   using von Post)</t>
  </si>
  <si>
    <t xml:space="preserve">Blanket Bog Protocol for Assessing the Potential Impacts of Restoration on Peat Landslide Risk </t>
  </si>
  <si>
    <t>Location (NGR):</t>
  </si>
  <si>
    <t>Proposal Site:</t>
  </si>
  <si>
    <t>Application Year:</t>
  </si>
  <si>
    <t>Applicant:</t>
  </si>
  <si>
    <t>Peatland ACTION Officer:</t>
  </si>
  <si>
    <t>Date Protocol Completed:</t>
  </si>
  <si>
    <t>Likelihood Assessment</t>
  </si>
  <si>
    <t>The baseline peat landslide likelihood was determined to be:</t>
  </si>
  <si>
    <t>Protocol Filename:</t>
  </si>
  <si>
    <t>The site averaged Factor of Safety was calculated to be:</t>
  </si>
  <si>
    <t>The following restoration techniques were specified:</t>
  </si>
  <si>
    <t>The modified (post-restoration) likelihood was determined to be:</t>
  </si>
  <si>
    <t>The site averaged modified Factor of Safety was determined to be:</t>
  </si>
  <si>
    <t>Consequence Assessment</t>
  </si>
  <si>
    <t>Based on the modified likelihood assessment, a consequence assessment:</t>
  </si>
  <si>
    <t>WAS REQUIRED</t>
  </si>
  <si>
    <t>WAS NOT REQUIRED</t>
  </si>
  <si>
    <t>Receptors were identified as follows (please list):</t>
  </si>
  <si>
    <t>Risk Assessment</t>
  </si>
  <si>
    <t>Enter details</t>
  </si>
  <si>
    <t>Enter grid reference</t>
  </si>
  <si>
    <t>Enter funding year</t>
  </si>
  <si>
    <t>Enter applicant name</t>
  </si>
  <si>
    <t>Sheet 4. Summary form</t>
  </si>
  <si>
    <t>This means that the site averaged conditions may not be stable, given the uncertainty in input parameters.</t>
  </si>
  <si>
    <t>This means that the site averaged conditions are not stable, and there is a high likelihood that some parts of the site will be unstable.</t>
  </si>
  <si>
    <t>This means that while the site averaged conditions indicate stability, there is reasonable likelihood that some parts of the site will be marginally stable.</t>
  </si>
  <si>
    <t>FOS Explanation</t>
  </si>
  <si>
    <t>Following specification of restoration techniques</t>
  </si>
  <si>
    <t>Score</t>
  </si>
  <si>
    <t>Given that risk has been calculated to be NEGLIGIBLE, restoration may continue as planned.</t>
  </si>
  <si>
    <t>Temporarily occupied facility (e.g. hide, building, picnic area, unoccupied farm barn)</t>
  </si>
  <si>
    <t>Footpaths / cycle trails / access track</t>
  </si>
  <si>
    <t>2. Which of the following statuses applies to the watercourse(s)? (up to and including 5km downstream)</t>
  </si>
  <si>
    <t>Status of watercourse/terrestrial habitat:</t>
  </si>
  <si>
    <t>Other infrastructure (water supply facility, telecomms facility)</t>
  </si>
  <si>
    <r>
      <t xml:space="preserve">Other infrastructure </t>
    </r>
    <r>
      <rPr>
        <sz val="11"/>
        <color theme="1"/>
        <rFont val="Calibri"/>
        <family val="2"/>
        <scheme val="minor"/>
      </rPr>
      <t>(water supply facility, telecomms facility)</t>
    </r>
  </si>
  <si>
    <t>Report Section 2.2.1</t>
  </si>
  <si>
    <t>GE / MM Guide</t>
  </si>
  <si>
    <t>Report Section 4.2.1.2</t>
  </si>
  <si>
    <t>Report Section 4.2.1.4</t>
  </si>
  <si>
    <t>Report Section 4.2.1.8</t>
  </si>
  <si>
    <t>Report Section 4.2.1.5</t>
  </si>
  <si>
    <t>Report Section 4.2.1.7</t>
  </si>
  <si>
    <t>Report Section 4.2.1.3</t>
  </si>
  <si>
    <t>EITHER draw a path in Google Earth and use the "Elevation Profile" tool to view the profile shape in the main part of the site to be restored 
OR 
Use contour spacing on MagicMap to identify the slope profile</t>
  </si>
  <si>
    <t>Report Section 4.2.1.6</t>
  </si>
  <si>
    <t>Report Section 4.3.3.1</t>
  </si>
  <si>
    <t>?</t>
  </si>
  <si>
    <t>Substrate</t>
  </si>
  <si>
    <t>Slope Angle</t>
  </si>
  <si>
    <t>Substrate Geology</t>
  </si>
  <si>
    <t>Geomorphology</t>
  </si>
  <si>
    <t>Land Use</t>
  </si>
  <si>
    <t>Presence of peat landslide</t>
  </si>
  <si>
    <t>DROP DOWN LOOK UP SHEET</t>
  </si>
  <si>
    <t>This sheet is a reference sheet to which Sheets 1 to 3 refer in order to derive scores for each answered question. The sheet can be modified to reflect revised scoring (if new data or experience suggests this is necessary).</t>
  </si>
  <si>
    <t>Burning (shallow cracking)</t>
  </si>
  <si>
    <t>Burning (deep cracking)</t>
  </si>
  <si>
    <t>Slope Form</t>
  </si>
  <si>
    <t>Drainage</t>
  </si>
  <si>
    <t>Description (to appear in Cell H137)</t>
  </si>
  <si>
    <t>This means that the site averaged conditions indicate stability and that any areas of marginal stability will be very localised, if present.</t>
  </si>
  <si>
    <t>Grazing / stock (sheep, deer, cattle)</t>
  </si>
  <si>
    <t>STEP 1. Calculate the baseline, or "pre-restoration" likelihood of a peat landslide (i.e. the chance of a natural peat slide occurrence in the current site condition)</t>
  </si>
  <si>
    <t>MINOR INSTABILITY</t>
  </si>
  <si>
    <t>PEAT SLIDE</t>
  </si>
  <si>
    <t>BOG BURST</t>
  </si>
  <si>
    <t>Neutral effect on stability</t>
  </si>
  <si>
    <t>Slight reduction in stability</t>
  </si>
  <si>
    <t>Trench / backfill bunding</t>
  </si>
  <si>
    <t>Reduction in stability</t>
  </si>
  <si>
    <t>Slight increase in stability</t>
  </si>
  <si>
    <t>Bare peat activities</t>
  </si>
  <si>
    <t>Forest to bog: stump flipping</t>
  </si>
  <si>
    <t>Forest to bog: stump flipping &amp; brash</t>
  </si>
  <si>
    <t>Forest to bog: stump flipping, brash &amp; stem</t>
  </si>
  <si>
    <t>Increase in stability</t>
  </si>
  <si>
    <t>Refer to the visual glossary or forest status and condition to the right:</t>
  </si>
  <si>
    <t>Species</t>
  </si>
  <si>
    <t>Vulnerable birds</t>
  </si>
  <si>
    <t>Freshwater Pearl Mussels present in watercourse within 5km</t>
  </si>
  <si>
    <t>Historic and Cultural Environment</t>
  </si>
  <si>
    <t>4. Which of the following species are observed on or near to site?</t>
  </si>
  <si>
    <t>Scheduled monument</t>
  </si>
  <si>
    <t>Other Nationally Important historic site/building</t>
  </si>
  <si>
    <t>Enter date completed</t>
  </si>
  <si>
    <t>Gritty / granular till with some clay</t>
  </si>
  <si>
    <t>Top score</t>
  </si>
  <si>
    <t>Undulating</t>
  </si>
  <si>
    <t>Is the footpath / cycle trail / access track used regularly (daily)?</t>
  </si>
  <si>
    <t>6. Is there a credible runout pathway to any of the following infrastructure / land uses within or adjacent to the site?</t>
  </si>
  <si>
    <t>5. Is there a credible runout pathway to any of the following publicly accessible areas within or adjacent to the site?</t>
  </si>
  <si>
    <t>7. Is there a credible pathway to any of the following historic and/or cultural sites/monuments/buildings within or downslope of site?</t>
  </si>
  <si>
    <t>Continuous</t>
  </si>
  <si>
    <t>Intermittent</t>
  </si>
  <si>
    <t>No geomorphology (forestry)</t>
  </si>
  <si>
    <t>Forest to bog: ridge and furrow blocking</t>
  </si>
  <si>
    <t>Ditches (standard peat dams)</t>
  </si>
  <si>
    <t>Ditches (plastic piling)</t>
  </si>
  <si>
    <t>Ditches (wooden and composite dams)</t>
  </si>
  <si>
    <t>Designated (SAC, SSSI, Ramsar), with impact</t>
  </si>
  <si>
    <t>Designated (SAC, SSSI, Ramsar), unlikely impact</t>
  </si>
  <si>
    <t>Are the EPS likely to be nesting / resident during restoration works?</t>
  </si>
  <si>
    <t>There is a Private Water Supply in continuous or intermittent use</t>
  </si>
  <si>
    <t>There is a Public Water Supply (reservoir)</t>
  </si>
  <si>
    <t>There is a designated (SAC, SSSI, SPA, Ramsar) watercourse or connecting watercourse</t>
  </si>
  <si>
    <t>There are designated habitats (Natura, SSSI) within or downslope of the proposed restoration area</t>
  </si>
  <si>
    <t>The qualifying interests of the designation(s) are likely to be affected by smothering with peat or a direct loss of peat (with overlying habitat)</t>
  </si>
  <si>
    <t>Designated (Natura, SSSI), with impact</t>
  </si>
  <si>
    <t>Designated (Natura, SSSI), unlikely impact</t>
  </si>
  <si>
    <t>The qualifying interests of the designation(s) are likely to be affected by smothering with peat or a short term acid pulse</t>
  </si>
  <si>
    <t>Other vulnerable species have been confirmed in restoration area (or within 1km)</t>
  </si>
  <si>
    <t>European Protected Species (EPS) have been confirmed in restoration area (or within 1km)</t>
  </si>
  <si>
    <t>Length range (m)</t>
  </si>
  <si>
    <t>Red</t>
  </si>
  <si>
    <t>Orange</t>
  </si>
  <si>
    <t>Yellow</t>
  </si>
  <si>
    <t>Light green</t>
  </si>
  <si>
    <t>Dark green</t>
  </si>
  <si>
    <t>Slide impacts may exceed benefits</t>
  </si>
  <si>
    <t>Slide impacts may roughly balance benefits</t>
  </si>
  <si>
    <t>Benefits likely to exceed slide impacts</t>
  </si>
  <si>
    <t>Benefits significantly exceed impacts</t>
  </si>
  <si>
    <t>Impacts negligible relative to benefits</t>
  </si>
  <si>
    <t>0 - 1,000</t>
  </si>
  <si>
    <t>1,000 - 5,000</t>
  </si>
  <si>
    <t>5,000 - 10,000</t>
  </si>
  <si>
    <t>10,000 - 20,000</t>
  </si>
  <si>
    <t>20,000 - 30,000</t>
  </si>
  <si>
    <t>30,000 - 40,000</t>
  </si>
  <si>
    <t>40,000 - 50,000</t>
  </si>
  <si>
    <t>60,000 - 70,000</t>
  </si>
  <si>
    <t>70,000 - 80,000</t>
  </si>
  <si>
    <t>80,000 - 90,000</t>
  </si>
  <si>
    <t>90,000 - 100,000</t>
  </si>
  <si>
    <t>Total restoration length (m):</t>
  </si>
  <si>
    <t>Average peat depth (m):</t>
  </si>
  <si>
    <t>Approach to Restoration</t>
  </si>
  <si>
    <t>Replace this text with the rationale for retaining the restoration proposals as supplied (e.g. risks are acceptable, or benefits exceed the potential costs), for adjusting the restoration proposals (e.g. change of technique to reduce risk, or subdivision of site and rejection of parts of site due to Medium risk), or for rejecting the restoration proposals in their current form.</t>
  </si>
  <si>
    <t>50,000 - 60,000</t>
  </si>
  <si>
    <t>&gt; 3.0</t>
  </si>
  <si>
    <t>Based on the calculated risks, the proposed length of features to be restored and the peat depth:</t>
  </si>
  <si>
    <t>Based on the conditions at site prior to restoration and on the proposed restoration techniques, the risk calculated is:</t>
  </si>
  <si>
    <t>Modifier for non-ditch blocking non-afforested bogs</t>
  </si>
  <si>
    <t>Modifier for non-ditch blocking afforested bogs</t>
  </si>
  <si>
    <t>Modifier for ditch blocking in afforested or non-afforested bogs</t>
  </si>
  <si>
    <t>Will the EPS be likely to leave the site permanently if its habitat is disturbed?</t>
  </si>
  <si>
    <t>Arable (standing crops, productive land)</t>
  </si>
  <si>
    <t>Ditch-blocking (peat dams)</t>
  </si>
  <si>
    <t>Ditch-blocking (plastic piling dams)</t>
  </si>
  <si>
    <t>Ditch-blocking (zipping)</t>
  </si>
  <si>
    <t>Cell / surface / fish-scale / scallop / finger bunding</t>
  </si>
  <si>
    <t>Deep bunding (trench / backfill) (&lt;20m from bog margin)</t>
  </si>
  <si>
    <t>Bare peat whole turving</t>
  </si>
  <si>
    <t>Bare peat transplanting, seeding or mulching</t>
  </si>
  <si>
    <t>Bare peat textile application</t>
  </si>
  <si>
    <t>Please answer ALL the questions below (note that the assessment is not valid unless all entries are completed).</t>
  </si>
  <si>
    <t>Note that NatureScot internal staff may have access to the NS Geology layer containing equivalent information</t>
  </si>
  <si>
    <t>If no site specific data are available, the NS Estimated Peat Depth layer within NS GeoView may provide an estimate</t>
  </si>
  <si>
    <t>Ditch-blocking (drain reprofiling)</t>
  </si>
  <si>
    <t>Gully damming / bunding (stone / surface bunds)</t>
  </si>
  <si>
    <t>Forest to bog: tree harvesting</t>
  </si>
  <si>
    <t>Ditch-blocking (wave dams and/or zipping)</t>
  </si>
  <si>
    <t>Ditches (reprofiling / wave dams / zipping)</t>
  </si>
  <si>
    <t>This workbook provides an evidence-based protocol for assessing whether peat restoration techniques will have an adverse impact on the natural tendency of a blanket peatland to experience slope instability. The workbook is accompanied by a technical report (NatureScot Research Report No 1259, Mills &amp; Rushton, 2023) which details the underlying technical basis for the assessment, though the protocol is designed to be used standalone by Peatland ACTION officers. The protocol comprises three steps in linked worksheets, which should be worked through in order, as follows:</t>
  </si>
  <si>
    <r>
      <rPr>
        <b/>
        <sz val="10"/>
        <rFont val="Aril"/>
      </rPr>
      <t>Authored by:</t>
    </r>
    <r>
      <rPr>
        <sz val="10"/>
        <rFont val="Aril"/>
      </rPr>
      <t xml:space="preserve"> OWC Ltd (formerly East Point Geo Ltd), v1.4, 30/03/2024</t>
    </r>
  </si>
  <si>
    <t>Change Log</t>
  </si>
  <si>
    <t>Published version pending final NS report number</t>
  </si>
  <si>
    <t>Version</t>
  </si>
  <si>
    <t>Editor</t>
  </si>
  <si>
    <t>A Mills</t>
  </si>
  <si>
    <t>Addition of change log, NS report number, minor edits to correct messaging errors and enable full input on Summary Form, no material change to inputs or outputs</t>
  </si>
  <si>
    <t>Forest to bog: ridge and ditch/furrow blocking</t>
  </si>
  <si>
    <r>
      <rPr>
        <sz val="11"/>
        <color theme="1"/>
        <rFont val="Calibri"/>
        <family val="2"/>
      </rPr>
      <t xml:space="preserve">   •</t>
    </r>
    <r>
      <rPr>
        <i/>
        <sz val="11"/>
        <color theme="1"/>
        <rFont val="Calibri"/>
        <family val="2"/>
        <scheme val="minor"/>
      </rPr>
      <t xml:space="preserve"> tree harvesting (by change of water table, tree loading and peat density) and ditch/furrow blocking (by application of buttressing)</t>
    </r>
  </si>
  <si>
    <t xml:space="preserve">* the following techniques are covered in this calculation (note that the 'net effect on stability' comments do not apply to this output): </t>
  </si>
  <si>
    <t>(please enter the primary techniques used)</t>
  </si>
  <si>
    <t>The highest risks were associated with the
following receptors (please list, with risks):</t>
  </si>
  <si>
    <t>Protocol completed by:</t>
  </si>
  <si>
    <t>Enter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</si>
</sst>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4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i/>
      <sz val="11"/>
      <name val="Calibri"/>
      <family val="2"/>
      <scheme val="minor"/>
    </font>
    <font>
      <sz val="11"/>
      <name val="Calibri"/>
      <family val="2"/>
      <scheme val="minor"/>
    </font>
    <font>
      <b/>
      <sz val="11"/>
      <name val="Calibri"/>
      <family val="2"/>
      <scheme val="minor"/>
    </font>
    <font>
      <b/>
      <i/>
      <u/>
      <sz val="11"/>
      <color theme="1"/>
      <name val="Calibri"/>
      <family val="2"/>
      <scheme val="minor"/>
    </font>
    <font>
      <b/>
      <sz val="12"/>
      <color theme="1"/>
      <name val="Aril"/>
    </font>
    <font>
      <b/>
      <sz val="12"/>
      <color theme="1"/>
      <name val="Arial"/>
      <family val="2"/>
    </font>
    <font>
      <sz val="10"/>
      <color theme="1"/>
      <name val="Aril"/>
    </font>
    <font>
      <u/>
      <sz val="11"/>
      <color theme="10"/>
      <name val="Calibri"/>
      <family val="2"/>
      <scheme val="minor"/>
    </font>
    <font>
      <sz val="10"/>
      <color theme="1"/>
      <name val="Calibri"/>
      <family val="2"/>
      <scheme val="minor"/>
    </font>
    <font>
      <sz val="12"/>
      <color theme="1"/>
      <name val="Calibri"/>
      <family val="2"/>
      <scheme val="minor"/>
    </font>
    <font>
      <i/>
      <sz val="12"/>
      <color theme="1"/>
      <name val="Calibri"/>
      <family val="2"/>
      <scheme val="minor"/>
    </font>
    <font>
      <sz val="12"/>
      <color rgb="FFFF0000"/>
      <name val="Calibri"/>
      <family val="2"/>
      <scheme val="minor"/>
    </font>
    <font>
      <sz val="11"/>
      <color theme="1"/>
      <name val="Calibri"/>
      <family val="2"/>
    </font>
    <font>
      <sz val="11"/>
      <color theme="0" tint="-0.249977111117893"/>
      <name val="Calibri"/>
      <family val="2"/>
      <scheme val="minor"/>
    </font>
    <font>
      <sz val="11"/>
      <name val="Calibri"/>
      <family val="2"/>
    </font>
    <font>
      <b/>
      <sz val="12"/>
      <name val="Calibri"/>
      <family val="2"/>
      <scheme val="minor"/>
    </font>
    <font>
      <sz val="6.05"/>
      <color theme="1"/>
      <name val="Calibri"/>
      <family val="2"/>
    </font>
    <font>
      <sz val="11"/>
      <color theme="0" tint="-0.34998626667073579"/>
      <name val="Calibri"/>
      <family val="2"/>
      <scheme val="minor"/>
    </font>
    <font>
      <b/>
      <sz val="9"/>
      <color indexed="81"/>
      <name val="Tahoma"/>
      <family val="2"/>
    </font>
    <font>
      <sz val="9"/>
      <color indexed="81"/>
      <name val="Tahoma"/>
      <family val="2"/>
    </font>
    <font>
      <i/>
      <sz val="11"/>
      <color rgb="FFFF0000"/>
      <name val="Calibri"/>
      <family val="2"/>
      <scheme val="minor"/>
    </font>
    <font>
      <b/>
      <sz val="11"/>
      <color theme="0"/>
      <name val="Calibri"/>
      <family val="2"/>
      <scheme val="minor"/>
    </font>
    <font>
      <b/>
      <sz val="12"/>
      <name val="Arial"/>
      <family val="2"/>
    </font>
    <font>
      <b/>
      <sz val="11"/>
      <color rgb="FFFF0000"/>
      <name val="Calibri"/>
      <family val="2"/>
      <scheme val="minor"/>
    </font>
    <font>
      <i/>
      <sz val="12"/>
      <color rgb="FFFF0000"/>
      <name val="Calibri"/>
      <family val="2"/>
      <scheme val="minor"/>
    </font>
    <font>
      <u/>
      <sz val="11"/>
      <color rgb="FF0066FF"/>
      <name val="Calibri"/>
      <family val="2"/>
      <scheme val="minor"/>
    </font>
    <font>
      <b/>
      <sz val="11"/>
      <color rgb="FFFFC000"/>
      <name val="Calibri"/>
      <family val="2"/>
      <scheme val="minor"/>
    </font>
    <font>
      <sz val="8"/>
      <name val="Calibri"/>
      <family val="2"/>
      <scheme val="minor"/>
    </font>
    <font>
      <b/>
      <sz val="12"/>
      <color rgb="FFFF0000"/>
      <name val="Calibri"/>
      <family val="2"/>
      <scheme val="minor"/>
    </font>
    <font>
      <sz val="11"/>
      <color rgb="FFFFC000"/>
      <name val="Calibri"/>
      <family val="2"/>
      <scheme val="minor"/>
    </font>
    <font>
      <i/>
      <sz val="12"/>
      <color theme="0"/>
      <name val="Calibri"/>
      <family val="2"/>
      <scheme val="minor"/>
    </font>
    <font>
      <sz val="12"/>
      <color theme="0"/>
      <name val="Calibri"/>
      <family val="2"/>
      <scheme val="minor"/>
    </font>
    <font>
      <sz val="10"/>
      <name val="Aril"/>
    </font>
    <font>
      <b/>
      <sz val="10"/>
      <name val="Aril"/>
    </font>
    <font>
      <u/>
      <sz val="11"/>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C66FF"/>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99CC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16" fillId="0" borderId="0" applyNumberFormat="0" applyFill="0" applyBorder="0" applyAlignment="0" applyProtection="0"/>
  </cellStyleXfs>
  <cellXfs count="272">
    <xf numFmtId="0" fontId="0" fillId="0" borderId="0" xfId="0"/>
    <xf numFmtId="0" fontId="3" fillId="0" borderId="0" xfId="0" applyFont="1"/>
    <xf numFmtId="0" fontId="0" fillId="0" borderId="0" xfId="0" applyAlignment="1">
      <alignment horizontal="center"/>
    </xf>
    <xf numFmtId="0" fontId="5" fillId="2" borderId="0" xfId="0" applyFont="1" applyFill="1"/>
    <xf numFmtId="0" fontId="0" fillId="2" borderId="0" xfId="0" applyFill="1"/>
    <xf numFmtId="0" fontId="0" fillId="2" borderId="0" xfId="0" applyFill="1" applyAlignment="1">
      <alignment horizontal="center"/>
    </xf>
    <xf numFmtId="0" fontId="3" fillId="2" borderId="0" xfId="0" applyFont="1" applyFill="1"/>
    <xf numFmtId="0" fontId="6" fillId="2" borderId="0" xfId="0" applyFont="1" applyFill="1"/>
    <xf numFmtId="0" fontId="3" fillId="2" borderId="0" xfId="0" applyFont="1" applyFill="1" applyAlignment="1">
      <alignment horizontal="center"/>
    </xf>
    <xf numFmtId="0" fontId="0" fillId="2" borderId="0" xfId="0" applyFill="1" applyAlignment="1">
      <alignment horizontal="left" vertical="top" wrapText="1"/>
    </xf>
    <xf numFmtId="0" fontId="0" fillId="2" borderId="2" xfId="0" applyFill="1" applyBorder="1"/>
    <xf numFmtId="0" fontId="4" fillId="2" borderId="0" xfId="0" applyFont="1" applyFill="1" applyAlignment="1">
      <alignment horizontal="center"/>
    </xf>
    <xf numFmtId="0" fontId="8" fillId="2" borderId="0" xfId="0" applyFont="1" applyFill="1"/>
    <xf numFmtId="0" fontId="0" fillId="2" borderId="0" xfId="0" applyFill="1" applyAlignment="1">
      <alignment vertical="top" wrapText="1"/>
    </xf>
    <xf numFmtId="0" fontId="9" fillId="2" borderId="0" xfId="0" applyFont="1" applyFill="1"/>
    <xf numFmtId="0" fontId="10" fillId="2" borderId="0" xfId="0" applyFont="1" applyFill="1"/>
    <xf numFmtId="0" fontId="10" fillId="2" borderId="0" xfId="0" applyFont="1" applyFill="1" applyAlignment="1">
      <alignment horizontal="center"/>
    </xf>
    <xf numFmtId="0" fontId="5" fillId="0" borderId="0" xfId="0" applyFont="1"/>
    <xf numFmtId="0" fontId="3" fillId="2" borderId="0" xfId="0" applyFont="1" applyFill="1" applyAlignment="1">
      <alignment horizontal="left"/>
    </xf>
    <xf numFmtId="0" fontId="3" fillId="2" borderId="0" xfId="0" applyFont="1" applyFill="1" applyAlignment="1">
      <alignment vertical="top"/>
    </xf>
    <xf numFmtId="0" fontId="7" fillId="2" borderId="0" xfId="0" applyFont="1" applyFill="1"/>
    <xf numFmtId="0" fontId="7" fillId="2" borderId="0" xfId="0" applyFont="1" applyFill="1" applyAlignment="1">
      <alignment horizontal="center"/>
    </xf>
    <xf numFmtId="0" fontId="2" fillId="2" borderId="0" xfId="0" applyFont="1" applyFill="1" applyAlignment="1">
      <alignment horizontal="center"/>
    </xf>
    <xf numFmtId="0" fontId="2" fillId="2" borderId="0" xfId="0" applyFont="1" applyFill="1"/>
    <xf numFmtId="0" fontId="0" fillId="2" borderId="0" xfId="0" applyFill="1" applyAlignment="1">
      <alignment horizontal="right"/>
    </xf>
    <xf numFmtId="43" fontId="0" fillId="2" borderId="0" xfId="1" applyFont="1" applyFill="1" applyAlignment="1">
      <alignment horizontal="left"/>
    </xf>
    <xf numFmtId="0" fontId="6" fillId="2" borderId="3" xfId="0" applyFont="1" applyFill="1" applyBorder="1"/>
    <xf numFmtId="0" fontId="3" fillId="2" borderId="3" xfId="0" applyFont="1" applyFill="1" applyBorder="1"/>
    <xf numFmtId="0" fontId="0" fillId="2" borderId="3" xfId="0" applyFill="1" applyBorder="1" applyAlignment="1">
      <alignment horizontal="center"/>
    </xf>
    <xf numFmtId="0" fontId="11" fillId="2" borderId="3" xfId="0" applyFont="1" applyFill="1" applyBorder="1"/>
    <xf numFmtId="0" fontId="0" fillId="2" borderId="3" xfId="0" applyFill="1" applyBorder="1"/>
    <xf numFmtId="0" fontId="8" fillId="2" borderId="0" xfId="0" applyFont="1" applyFill="1" applyAlignment="1">
      <alignment horizontal="center"/>
    </xf>
    <xf numFmtId="0" fontId="14" fillId="2" borderId="0" xfId="0" applyFont="1" applyFill="1"/>
    <xf numFmtId="0" fontId="13" fillId="2" borderId="0" xfId="0" applyFont="1" applyFill="1" applyAlignment="1">
      <alignment vertical="top" wrapText="1"/>
    </xf>
    <xf numFmtId="0" fontId="15" fillId="2" borderId="0" xfId="0" applyFont="1" applyFill="1" applyAlignment="1">
      <alignment vertical="top"/>
    </xf>
    <xf numFmtId="0" fontId="11" fillId="2" borderId="0" xfId="0" applyFont="1" applyFill="1" applyAlignment="1">
      <alignment horizontal="center"/>
    </xf>
    <xf numFmtId="0" fontId="0" fillId="2" borderId="0" xfId="0" applyFill="1" applyAlignment="1">
      <alignment horizontal="left" vertical="top"/>
    </xf>
    <xf numFmtId="0" fontId="16" fillId="0" borderId="0" xfId="2"/>
    <xf numFmtId="0" fontId="16" fillId="2" borderId="0" xfId="2" applyFill="1"/>
    <xf numFmtId="0" fontId="4" fillId="2" borderId="3" xfId="0" applyFont="1" applyFill="1" applyBorder="1" applyAlignment="1">
      <alignment horizontal="center"/>
    </xf>
    <xf numFmtId="0" fontId="0" fillId="2" borderId="4" xfId="0" applyFill="1" applyBorder="1"/>
    <xf numFmtId="0" fontId="0" fillId="2" borderId="3" xfId="0" applyFill="1" applyBorder="1" applyAlignment="1">
      <alignment horizontal="left" vertical="top" wrapText="1"/>
    </xf>
    <xf numFmtId="164" fontId="4" fillId="2" borderId="3" xfId="0" applyNumberFormat="1" applyFont="1" applyFill="1" applyBorder="1" applyAlignment="1">
      <alignment horizontal="center"/>
    </xf>
    <xf numFmtId="164" fontId="4" fillId="2" borderId="0" xfId="0" applyNumberFormat="1" applyFont="1" applyFill="1" applyAlignment="1">
      <alignment horizontal="center"/>
    </xf>
    <xf numFmtId="0" fontId="0" fillId="2" borderId="3" xfId="0" applyFill="1" applyBorder="1" applyAlignment="1">
      <alignment vertical="top" wrapText="1"/>
    </xf>
    <xf numFmtId="0" fontId="10" fillId="2" borderId="3" xfId="0"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0" fontId="3" fillId="2" borderId="3" xfId="0" applyFont="1" applyFill="1" applyBorder="1" applyAlignment="1">
      <alignment horizontal="center"/>
    </xf>
    <xf numFmtId="0" fontId="7" fillId="2" borderId="3" xfId="0" applyFont="1" applyFill="1" applyBorder="1" applyAlignment="1">
      <alignment horizontal="center"/>
    </xf>
    <xf numFmtId="0" fontId="8" fillId="2" borderId="0" xfId="0" applyFont="1" applyFill="1" applyAlignment="1">
      <alignment vertical="top"/>
    </xf>
    <xf numFmtId="0" fontId="18" fillId="2" borderId="0" xfId="0" applyFont="1" applyFill="1" applyAlignment="1">
      <alignment vertical="top" wrapText="1"/>
    </xf>
    <xf numFmtId="0" fontId="18" fillId="2" borderId="0" xfId="0" applyFont="1" applyFill="1" applyAlignment="1">
      <alignment horizontal="center"/>
    </xf>
    <xf numFmtId="0" fontId="18" fillId="2" borderId="0" xfId="0" applyFont="1" applyFill="1"/>
    <xf numFmtId="0" fontId="18" fillId="0" borderId="0" xfId="0" applyFont="1"/>
    <xf numFmtId="0" fontId="19" fillId="2" borderId="0" xfId="0" applyFont="1" applyFill="1"/>
    <xf numFmtId="0" fontId="20" fillId="2" borderId="0" xfId="0" applyFont="1" applyFill="1" applyAlignment="1">
      <alignment horizontal="left"/>
    </xf>
    <xf numFmtId="0" fontId="20" fillId="2" borderId="0" xfId="0" applyFont="1" applyFill="1" applyAlignment="1">
      <alignment horizontal="center"/>
    </xf>
    <xf numFmtId="0" fontId="0" fillId="2" borderId="1" xfId="0" applyFill="1" applyBorder="1" applyAlignment="1">
      <alignment horizontal="center"/>
    </xf>
    <xf numFmtId="0" fontId="3" fillId="0" borderId="1" xfId="0" applyFont="1" applyBorder="1" applyAlignment="1">
      <alignment horizontal="center"/>
    </xf>
    <xf numFmtId="0" fontId="0" fillId="0" borderId="1" xfId="0" applyBorder="1"/>
    <xf numFmtId="0" fontId="0" fillId="0" borderId="1" xfId="0" applyBorder="1" applyAlignment="1">
      <alignment horizontal="center"/>
    </xf>
    <xf numFmtId="0" fontId="22" fillId="0" borderId="1" xfId="0" applyFont="1" applyBorder="1"/>
    <xf numFmtId="0" fontId="22" fillId="0" borderId="1" xfId="0" applyFont="1" applyBorder="1" applyAlignment="1">
      <alignment horizontal="center"/>
    </xf>
    <xf numFmtId="0" fontId="21" fillId="0" borderId="1" xfId="0" applyFont="1" applyBorder="1" applyAlignment="1">
      <alignment horizontal="center"/>
    </xf>
    <xf numFmtId="0" fontId="10" fillId="0" borderId="1" xfId="0" applyFont="1" applyBorder="1" applyAlignment="1">
      <alignment horizontal="center"/>
    </xf>
    <xf numFmtId="0" fontId="23" fillId="0" borderId="1" xfId="0" applyFont="1" applyBorder="1" applyAlignment="1">
      <alignment horizontal="center"/>
    </xf>
    <xf numFmtId="0" fontId="0" fillId="2" borderId="1" xfId="0" applyFill="1" applyBorder="1"/>
    <xf numFmtId="0" fontId="21" fillId="2" borderId="1" xfId="0" applyFont="1" applyFill="1" applyBorder="1" applyAlignment="1">
      <alignment horizontal="center"/>
    </xf>
    <xf numFmtId="0" fontId="0" fillId="2" borderId="7" xfId="0" applyFill="1" applyBorder="1"/>
    <xf numFmtId="0" fontId="0" fillId="2" borderId="8" xfId="0" applyFill="1" applyBorder="1"/>
    <xf numFmtId="0" fontId="0" fillId="2" borderId="9" xfId="0" applyFill="1" applyBorder="1"/>
    <xf numFmtId="164" fontId="0" fillId="2" borderId="1" xfId="0" applyNumberFormat="1" applyFill="1" applyBorder="1" applyAlignment="1">
      <alignment horizontal="center"/>
    </xf>
    <xf numFmtId="0" fontId="3" fillId="2" borderId="1" xfId="0" applyFont="1" applyFill="1" applyBorder="1"/>
    <xf numFmtId="164" fontId="0" fillId="0" borderId="1" xfId="0" applyNumberFormat="1" applyBorder="1" applyAlignment="1">
      <alignment horizontal="center"/>
    </xf>
    <xf numFmtId="0" fontId="26" fillId="0" borderId="1" xfId="0" applyFont="1" applyBorder="1"/>
    <xf numFmtId="0" fontId="26" fillId="0" borderId="1" xfId="0" applyFont="1" applyBorder="1" applyAlignment="1">
      <alignment horizontal="center"/>
    </xf>
    <xf numFmtId="164" fontId="26" fillId="0" borderId="1" xfId="0" applyNumberFormat="1" applyFont="1" applyBorder="1" applyAlignment="1">
      <alignment horizontal="center"/>
    </xf>
    <xf numFmtId="2" fontId="0" fillId="0" borderId="1" xfId="0" applyNumberFormat="1" applyBorder="1" applyAlignment="1">
      <alignment horizontal="center"/>
    </xf>
    <xf numFmtId="0" fontId="29" fillId="2" borderId="0" xfId="0" applyFont="1" applyFill="1"/>
    <xf numFmtId="164" fontId="24" fillId="2" borderId="0" xfId="0" applyNumberFormat="1" applyFont="1" applyFill="1" applyAlignment="1">
      <alignment horizontal="center"/>
    </xf>
    <xf numFmtId="0" fontId="14" fillId="2" borderId="0" xfId="0" applyFont="1" applyFill="1" applyAlignment="1">
      <alignment horizontal="left" vertical="top" wrapText="1"/>
    </xf>
    <xf numFmtId="0" fontId="0" fillId="10" borderId="8" xfId="0" applyFill="1" applyBorder="1"/>
    <xf numFmtId="0" fontId="0" fillId="10" borderId="9" xfId="0" applyFill="1" applyBorder="1"/>
    <xf numFmtId="0" fontId="0" fillId="2" borderId="15" xfId="0" applyFill="1" applyBorder="1" applyAlignment="1">
      <alignment horizontal="center"/>
    </xf>
    <xf numFmtId="0" fontId="0" fillId="2" borderId="6" xfId="0" applyFill="1" applyBorder="1" applyAlignment="1">
      <alignment horizontal="center"/>
    </xf>
    <xf numFmtId="0" fontId="30" fillId="10" borderId="7" xfId="0" applyFont="1" applyFill="1" applyBorder="1"/>
    <xf numFmtId="0" fontId="30" fillId="10" borderId="8" xfId="0" applyFont="1" applyFill="1" applyBorder="1"/>
    <xf numFmtId="0" fontId="30" fillId="10" borderId="1" xfId="0" applyFont="1" applyFill="1" applyBorder="1" applyAlignment="1">
      <alignment horizontal="center"/>
    </xf>
    <xf numFmtId="0" fontId="0" fillId="2" borderId="10" xfId="0" applyFill="1" applyBorder="1"/>
    <xf numFmtId="0" fontId="0" fillId="2" borderId="11" xfId="0" applyFill="1" applyBorder="1"/>
    <xf numFmtId="0" fontId="0" fillId="2" borderId="5" xfId="0" applyFill="1" applyBorder="1" applyAlignment="1">
      <alignment horizontal="center"/>
    </xf>
    <xf numFmtId="0" fontId="0" fillId="0" borderId="3" xfId="0" applyBorder="1"/>
    <xf numFmtId="0" fontId="7" fillId="0" borderId="0" xfId="0" applyFont="1"/>
    <xf numFmtId="0" fontId="33" fillId="2" borderId="0" xfId="0" applyFont="1" applyFill="1"/>
    <xf numFmtId="0" fontId="2" fillId="2" borderId="0" xfId="0" applyFont="1" applyFill="1" applyAlignment="1">
      <alignment horizontal="left" vertical="top"/>
    </xf>
    <xf numFmtId="0" fontId="2" fillId="2" borderId="0" xfId="0" applyFont="1" applyFill="1" applyAlignment="1">
      <alignment vertical="top"/>
    </xf>
    <xf numFmtId="0" fontId="35" fillId="0" borderId="0" xfId="0" applyFont="1"/>
    <xf numFmtId="0" fontId="3" fillId="0" borderId="1" xfId="0" applyFont="1" applyBorder="1"/>
    <xf numFmtId="49" fontId="0" fillId="0" borderId="1" xfId="0" applyNumberFormat="1" applyBorder="1"/>
    <xf numFmtId="0" fontId="3" fillId="12" borderId="0" xfId="0" applyFont="1" applyFill="1"/>
    <xf numFmtId="0" fontId="0" fillId="12" borderId="0" xfId="0" applyFill="1"/>
    <xf numFmtId="0" fontId="30" fillId="10" borderId="2" xfId="0" applyFont="1" applyFill="1" applyBorder="1"/>
    <xf numFmtId="0" fontId="30" fillId="10" borderId="0" xfId="0" applyFont="1" applyFill="1"/>
    <xf numFmtId="0" fontId="30" fillId="10" borderId="15" xfId="0" applyFont="1" applyFill="1" applyBorder="1" applyAlignment="1">
      <alignment horizontal="center"/>
    </xf>
    <xf numFmtId="0" fontId="0" fillId="10" borderId="0" xfId="0" applyFill="1"/>
    <xf numFmtId="0" fontId="0" fillId="10" borderId="13" xfId="0" applyFill="1" applyBorder="1"/>
    <xf numFmtId="0" fontId="35" fillId="2" borderId="0" xfId="0" applyFont="1" applyFill="1" applyAlignment="1">
      <alignment horizontal="left"/>
    </xf>
    <xf numFmtId="0" fontId="3" fillId="0" borderId="2" xfId="0" applyFont="1" applyBorder="1"/>
    <xf numFmtId="0" fontId="0" fillId="0" borderId="2" xfId="0" applyBorder="1"/>
    <xf numFmtId="0" fontId="3" fillId="0" borderId="3" xfId="0" applyFont="1" applyBorder="1"/>
    <xf numFmtId="0" fontId="3" fillId="0" borderId="4" xfId="0" applyFont="1" applyBorder="1"/>
    <xf numFmtId="49" fontId="0" fillId="0" borderId="2" xfId="0" applyNumberFormat="1" applyBorder="1"/>
    <xf numFmtId="0" fontId="3" fillId="12" borderId="2" xfId="0" applyFont="1" applyFill="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4" xfId="0" applyBorder="1"/>
    <xf numFmtId="49" fontId="3" fillId="12" borderId="2" xfId="0" applyNumberFormat="1" applyFont="1" applyFill="1" applyBorder="1"/>
    <xf numFmtId="0" fontId="0" fillId="0" borderId="7" xfId="0" applyBorder="1"/>
    <xf numFmtId="0" fontId="0" fillId="0" borderId="9" xfId="0" applyBorder="1"/>
    <xf numFmtId="0" fontId="0" fillId="0" borderId="9" xfId="0" applyBorder="1" applyAlignment="1">
      <alignment horizontal="right"/>
    </xf>
    <xf numFmtId="0" fontId="0" fillId="0" borderId="1" xfId="0" applyBorder="1" applyAlignment="1">
      <alignment horizontal="left"/>
    </xf>
    <xf numFmtId="0" fontId="3" fillId="12" borderId="4" xfId="0" applyFont="1" applyFill="1" applyBorder="1"/>
    <xf numFmtId="0" fontId="0" fillId="0" borderId="1" xfId="0" applyBorder="1" applyAlignment="1">
      <alignment horizontal="right"/>
    </xf>
    <xf numFmtId="0" fontId="0" fillId="0" borderId="0" xfId="0" applyAlignment="1">
      <alignment horizontal="right"/>
    </xf>
    <xf numFmtId="0" fontId="0" fillId="0" borderId="0" xfId="0" applyAlignment="1">
      <alignment horizontal="left"/>
    </xf>
    <xf numFmtId="0" fontId="0" fillId="2" borderId="0" xfId="0" applyFill="1" applyAlignment="1">
      <alignment horizontal="left"/>
    </xf>
    <xf numFmtId="0" fontId="3" fillId="0" borderId="0" xfId="0" applyFont="1" applyAlignment="1">
      <alignment horizontal="left"/>
    </xf>
    <xf numFmtId="0" fontId="0" fillId="0" borderId="7" xfId="0" applyBorder="1" applyAlignment="1">
      <alignment horizontal="center"/>
    </xf>
    <xf numFmtId="0" fontId="0" fillId="0" borderId="11" xfId="0" applyBorder="1" applyAlignment="1">
      <alignment horizontal="center"/>
    </xf>
    <xf numFmtId="0" fontId="3" fillId="0" borderId="2" xfId="0" applyFont="1" applyBorder="1" applyAlignment="1">
      <alignment horizontal="left" vertical="top" wrapText="1"/>
    </xf>
    <xf numFmtId="0" fontId="0" fillId="2" borderId="2" xfId="0" applyFill="1" applyBorder="1" applyAlignment="1">
      <alignment horizontal="left" vertical="top" wrapText="1"/>
    </xf>
    <xf numFmtId="0" fontId="0" fillId="2" borderId="13" xfId="0" applyFill="1" applyBorder="1" applyAlignment="1">
      <alignment horizontal="left" vertical="top" wrapText="1"/>
    </xf>
    <xf numFmtId="0" fontId="0" fillId="2" borderId="4" xfId="0" applyFill="1" applyBorder="1" applyAlignment="1">
      <alignment horizontal="left" vertical="top" wrapText="1"/>
    </xf>
    <xf numFmtId="0" fontId="0" fillId="2" borderId="14" xfId="0"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29" fillId="2" borderId="0" xfId="0" applyFont="1" applyFill="1" applyAlignment="1">
      <alignment horizontal="center"/>
    </xf>
    <xf numFmtId="0" fontId="37" fillId="2" borderId="0" xfId="0" applyFont="1" applyFill="1" applyAlignment="1">
      <alignment horizontal="center"/>
    </xf>
    <xf numFmtId="0" fontId="38" fillId="2" borderId="0" xfId="0" applyFont="1" applyFill="1"/>
    <xf numFmtId="0" fontId="2" fillId="2" borderId="0" xfId="0" applyFont="1" applyFill="1" applyAlignment="1">
      <alignment vertical="top" wrapText="1"/>
    </xf>
    <xf numFmtId="0" fontId="2" fillId="2" borderId="0" xfId="0" applyFont="1" applyFill="1" applyAlignment="1">
      <alignment horizontal="left"/>
    </xf>
    <xf numFmtId="0" fontId="3" fillId="0" borderId="7" xfId="0" applyFont="1" applyBorder="1"/>
    <xf numFmtId="0" fontId="39" fillId="2" borderId="0" xfId="0" applyFont="1" applyFill="1"/>
    <xf numFmtId="0" fontId="0" fillId="0" borderId="15" xfId="0" applyBorder="1"/>
    <xf numFmtId="0" fontId="0" fillId="2" borderId="0" xfId="0" applyFill="1" applyAlignment="1">
      <alignment horizontal="left" vertical="top" wrapText="1" indent="5"/>
    </xf>
    <xf numFmtId="0" fontId="3" fillId="0" borderId="3" xfId="0" applyFont="1" applyBorder="1" applyAlignment="1">
      <alignment horizontal="center"/>
    </xf>
    <xf numFmtId="164" fontId="0" fillId="0" borderId="0" xfId="0" applyNumberFormat="1" applyAlignment="1">
      <alignment horizontal="center"/>
    </xf>
    <xf numFmtId="0" fontId="0" fillId="14" borderId="0" xfId="0" applyFill="1" applyAlignment="1">
      <alignment horizontal="right"/>
    </xf>
    <xf numFmtId="0" fontId="0" fillId="15" borderId="0" xfId="0" applyFill="1" applyAlignment="1">
      <alignment horizontal="right"/>
    </xf>
    <xf numFmtId="0" fontId="0" fillId="13"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3" fillId="0" borderId="0" xfId="0" applyFont="1" applyAlignment="1">
      <alignment horizontal="center"/>
    </xf>
    <xf numFmtId="1" fontId="3" fillId="0" borderId="3" xfId="0" applyNumberFormat="1" applyFon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3" fillId="2" borderId="0" xfId="0" applyFont="1" applyFill="1" applyAlignment="1">
      <alignment vertical="top" wrapText="1"/>
    </xf>
    <xf numFmtId="0" fontId="20" fillId="2" borderId="0" xfId="0" applyFont="1" applyFill="1"/>
    <xf numFmtId="0" fontId="4" fillId="2" borderId="0" xfId="0" applyFont="1" applyFill="1"/>
    <xf numFmtId="43" fontId="4" fillId="2" borderId="0" xfId="1" applyFont="1" applyFill="1" applyAlignment="1">
      <alignment horizontal="left"/>
    </xf>
    <xf numFmtId="0" fontId="4" fillId="2" borderId="0" xfId="0" applyFont="1" applyFill="1" applyAlignment="1">
      <alignment vertical="top" wrapText="1"/>
    </xf>
    <xf numFmtId="0" fontId="41" fillId="2" borderId="0" xfId="0" applyFont="1" applyFill="1" applyAlignment="1">
      <alignment horizontal="right" vertical="top"/>
    </xf>
    <xf numFmtId="0" fontId="3" fillId="0" borderId="5" xfId="0" applyFont="1" applyBorder="1" applyAlignment="1">
      <alignment horizontal="center"/>
    </xf>
    <xf numFmtId="0" fontId="24" fillId="2" borderId="3" xfId="0" applyFont="1" applyFill="1" applyBorder="1"/>
    <xf numFmtId="2" fontId="8" fillId="2" borderId="1" xfId="0" applyNumberFormat="1" applyFont="1" applyFill="1" applyBorder="1" applyAlignment="1" applyProtection="1">
      <alignment horizontal="left"/>
      <protection hidden="1"/>
    </xf>
    <xf numFmtId="0" fontId="8" fillId="2" borderId="0" xfId="0" applyFont="1" applyFill="1" applyAlignment="1" applyProtection="1">
      <alignment horizontal="left"/>
      <protection hidden="1"/>
    </xf>
    <xf numFmtId="0" fontId="8" fillId="0" borderId="0" xfId="0" applyFont="1" applyAlignment="1" applyProtection="1">
      <alignment horizontal="left"/>
      <protection hidden="1"/>
    </xf>
    <xf numFmtId="164" fontId="24" fillId="2" borderId="1" xfId="0" applyNumberFormat="1" applyFont="1" applyFill="1" applyBorder="1" applyAlignment="1" applyProtection="1">
      <alignment horizontal="center"/>
      <protection hidden="1"/>
    </xf>
    <xf numFmtId="0" fontId="10" fillId="0" borderId="0" xfId="0" applyFont="1"/>
    <xf numFmtId="0" fontId="11" fillId="2" borderId="0" xfId="0" applyFont="1" applyFill="1"/>
    <xf numFmtId="0" fontId="9" fillId="2" borderId="3" xfId="0" applyFont="1" applyFill="1" applyBorder="1"/>
    <xf numFmtId="0" fontId="10" fillId="2" borderId="0" xfId="0" applyFont="1" applyFill="1" applyAlignment="1">
      <alignment horizontal="right"/>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protection hidden="1"/>
    </xf>
    <xf numFmtId="0" fontId="0" fillId="2" borderId="0" xfId="0" applyFill="1" applyProtection="1">
      <protection hidden="1"/>
    </xf>
    <xf numFmtId="0" fontId="0" fillId="2" borderId="3" xfId="0" applyFill="1" applyBorder="1" applyProtection="1">
      <protection hidden="1"/>
    </xf>
    <xf numFmtId="43" fontId="0" fillId="2" borderId="0" xfId="1" applyFont="1" applyFill="1" applyProtection="1">
      <protection hidden="1"/>
    </xf>
    <xf numFmtId="0" fontId="0" fillId="0" borderId="0" xfId="0" applyProtection="1">
      <protection hidden="1"/>
    </xf>
    <xf numFmtId="0" fontId="3" fillId="2" borderId="0" xfId="0" applyFont="1" applyFill="1" applyAlignment="1" applyProtection="1">
      <alignment horizontal="center"/>
      <protection hidden="1"/>
    </xf>
    <xf numFmtId="0" fontId="0" fillId="2" borderId="1" xfId="0" applyFill="1" applyBorder="1" applyAlignment="1" applyProtection="1">
      <alignment horizontal="center"/>
      <protection hidden="1"/>
    </xf>
    <xf numFmtId="0" fontId="0" fillId="2" borderId="0" xfId="0" applyFill="1" applyAlignment="1" applyProtection="1">
      <alignment horizontal="center"/>
      <protection hidden="1"/>
    </xf>
    <xf numFmtId="0" fontId="32" fillId="2" borderId="0" xfId="0" applyFont="1" applyFill="1" applyAlignment="1" applyProtection="1">
      <alignment horizontal="left"/>
      <protection hidden="1"/>
    </xf>
    <xf numFmtId="0" fontId="2" fillId="2" borderId="0" xfId="0" applyFont="1" applyFill="1" applyProtection="1">
      <protection hidden="1"/>
    </xf>
    <xf numFmtId="0" fontId="2" fillId="2" borderId="0" xfId="0" applyFont="1" applyFill="1" applyAlignment="1" applyProtection="1">
      <alignment horizontal="center"/>
      <protection hidden="1"/>
    </xf>
    <xf numFmtId="0" fontId="3" fillId="2" borderId="0" xfId="0" applyFont="1" applyFill="1" applyAlignment="1" applyProtection="1">
      <alignment horizontal="left" vertical="top" wrapText="1"/>
      <protection hidden="1"/>
    </xf>
    <xf numFmtId="0" fontId="3" fillId="8" borderId="1" xfId="0" applyFont="1" applyFill="1" applyBorder="1" applyAlignment="1" applyProtection="1">
      <alignment horizontal="center"/>
      <protection locked="0"/>
    </xf>
    <xf numFmtId="0" fontId="11" fillId="8" borderId="1" xfId="0" applyFont="1" applyFill="1" applyBorder="1" applyAlignment="1" applyProtection="1">
      <alignment horizontal="center"/>
      <protection locked="0"/>
    </xf>
    <xf numFmtId="49" fontId="11" fillId="8" borderId="1" xfId="0" applyNumberFormat="1" applyFont="1" applyFill="1" applyBorder="1" applyAlignment="1" applyProtection="1">
      <alignment horizontal="center"/>
      <protection locked="0"/>
    </xf>
    <xf numFmtId="0" fontId="11" fillId="8" borderId="5" xfId="0" applyFont="1" applyFill="1" applyBorder="1" applyAlignment="1" applyProtection="1">
      <alignment horizontal="center"/>
      <protection locked="0"/>
    </xf>
    <xf numFmtId="0" fontId="11" fillId="8" borderId="6" xfId="0" applyFont="1" applyFill="1" applyBorder="1" applyAlignment="1" applyProtection="1">
      <alignment horizontal="center"/>
      <protection locked="0"/>
    </xf>
    <xf numFmtId="0" fontId="0" fillId="11" borderId="1" xfId="0"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9" borderId="1" xfId="0" applyFill="1" applyBorder="1" applyAlignment="1" applyProtection="1">
      <alignment horizontal="center"/>
      <protection locked="0"/>
    </xf>
    <xf numFmtId="0" fontId="0" fillId="6" borderId="1" xfId="0" applyFill="1" applyBorder="1" applyAlignment="1" applyProtection="1">
      <alignment horizontal="center"/>
      <protection locked="0"/>
    </xf>
    <xf numFmtId="0" fontId="10" fillId="0" borderId="1" xfId="0" applyFont="1" applyBorder="1"/>
    <xf numFmtId="0" fontId="11" fillId="12" borderId="2" xfId="0" applyFont="1" applyFill="1" applyBorder="1"/>
    <xf numFmtId="0" fontId="3" fillId="2" borderId="11" xfId="0" applyFont="1" applyFill="1" applyBorder="1"/>
    <xf numFmtId="0" fontId="43" fillId="2" borderId="0" xfId="0" applyFont="1" applyFill="1"/>
    <xf numFmtId="0" fontId="40" fillId="2" borderId="0" xfId="0" applyFont="1" applyFill="1" applyAlignment="1" applyProtection="1">
      <alignment horizontal="center"/>
      <protection hidden="1"/>
    </xf>
    <xf numFmtId="0" fontId="0" fillId="2" borderId="0" xfId="0" applyFill="1" applyProtection="1">
      <protection locked="0"/>
    </xf>
    <xf numFmtId="0" fontId="2" fillId="2" borderId="0" xfId="0" applyFont="1" applyFill="1" applyProtection="1">
      <protection locked="0"/>
    </xf>
    <xf numFmtId="14" fontId="7" fillId="2" borderId="3" xfId="0" applyNumberFormat="1" applyFont="1" applyFill="1" applyBorder="1" applyAlignment="1">
      <alignment horizontal="center"/>
    </xf>
    <xf numFmtId="0" fontId="32" fillId="2" borderId="0" xfId="0" applyFont="1" applyFill="1"/>
    <xf numFmtId="0" fontId="13" fillId="2" borderId="0" xfId="0" applyFont="1" applyFill="1" applyAlignment="1">
      <alignment horizontal="left" vertical="top" wrapText="1"/>
    </xf>
    <xf numFmtId="0" fontId="14" fillId="2" borderId="0" xfId="0" applyFont="1" applyFill="1" applyAlignment="1">
      <alignment horizontal="left" vertical="top" wrapText="1"/>
    </xf>
    <xf numFmtId="0" fontId="34" fillId="2" borderId="0" xfId="0" applyFont="1" applyFill="1" applyAlignment="1">
      <alignment horizontal="left" vertical="top" wrapText="1"/>
    </xf>
    <xf numFmtId="0" fontId="0" fillId="2" borderId="0" xfId="0" applyFill="1" applyAlignment="1">
      <alignment horizontal="left" vertical="top" wrapText="1"/>
    </xf>
    <xf numFmtId="0" fontId="16" fillId="2" borderId="0" xfId="2" applyFill="1" applyAlignment="1">
      <alignment horizontal="left" vertical="top" wrapText="1"/>
    </xf>
    <xf numFmtId="0" fontId="0" fillId="2" borderId="1" xfId="0" applyFill="1" applyBorder="1" applyAlignment="1">
      <alignment horizontal="left"/>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26" fillId="0" borderId="7" xfId="0" applyFont="1" applyBorder="1" applyAlignment="1">
      <alignment horizontal="left"/>
    </xf>
    <xf numFmtId="0" fontId="26" fillId="0" borderId="8" xfId="0" applyFont="1" applyBorder="1" applyAlignment="1">
      <alignment horizontal="left"/>
    </xf>
    <xf numFmtId="0" fontId="26" fillId="0" borderId="9"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0" fillId="2" borderId="7" xfId="0"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10" fillId="0" borderId="7" xfId="0" applyFont="1" applyBorder="1" applyAlignment="1">
      <alignment horizontal="left"/>
    </xf>
    <xf numFmtId="0" fontId="10" fillId="0" borderId="8" xfId="0" applyFont="1" applyBorder="1" applyAlignment="1">
      <alignment horizontal="left"/>
    </xf>
    <xf numFmtId="0" fontId="10" fillId="0" borderId="9"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8" fillId="0" borderId="3" xfId="0" applyFont="1" applyBorder="1" applyAlignment="1">
      <alignment horizontal="center"/>
    </xf>
    <xf numFmtId="0" fontId="2" fillId="2" borderId="0" xfId="0" applyFont="1" applyFill="1" applyAlignment="1">
      <alignment horizontal="center" vertical="top" wrapText="1"/>
    </xf>
    <xf numFmtId="0" fontId="0" fillId="2" borderId="0" xfId="0" applyFill="1" applyAlignment="1">
      <alignment vertical="top" wrapText="1"/>
    </xf>
    <xf numFmtId="0" fontId="0" fillId="2" borderId="2" xfId="0" applyFill="1" applyBorder="1" applyAlignment="1">
      <alignment horizontal="center"/>
    </xf>
    <xf numFmtId="0" fontId="0" fillId="2" borderId="0" xfId="0" applyFill="1" applyAlignment="1">
      <alignment horizontal="center"/>
    </xf>
    <xf numFmtId="0" fontId="10" fillId="2" borderId="0" xfId="0" applyFont="1" applyFill="1" applyAlignment="1">
      <alignment horizontal="center" vertical="top" wrapText="1"/>
    </xf>
    <xf numFmtId="0" fontId="17" fillId="2" borderId="0" xfId="0" applyFont="1" applyFill="1" applyAlignment="1">
      <alignment horizontal="left" vertical="top" wrapText="1"/>
    </xf>
    <xf numFmtId="0" fontId="3" fillId="0" borderId="0" xfId="0" applyFont="1" applyAlignment="1" applyProtection="1">
      <alignment horizontal="left" vertical="top" wrapText="1"/>
      <protection hidden="1"/>
    </xf>
    <xf numFmtId="0" fontId="0" fillId="2" borderId="0" xfId="0" applyFill="1" applyAlignment="1">
      <alignment horizontal="left" indent="5"/>
    </xf>
    <xf numFmtId="0" fontId="0" fillId="2" borderId="13" xfId="0" applyFill="1" applyBorder="1" applyAlignment="1">
      <alignment horizontal="left" indent="5"/>
    </xf>
    <xf numFmtId="0" fontId="0" fillId="2" borderId="0" xfId="0" applyFill="1" applyAlignment="1">
      <alignment horizontal="left" wrapText="1" indent="5"/>
    </xf>
    <xf numFmtId="0" fontId="0" fillId="2" borderId="0" xfId="0" applyFill="1" applyAlignment="1">
      <alignment horizontal="left"/>
    </xf>
    <xf numFmtId="0" fontId="0" fillId="2" borderId="13" xfId="0" applyFill="1" applyBorder="1" applyAlignment="1">
      <alignment horizontal="left"/>
    </xf>
    <xf numFmtId="0" fontId="0" fillId="2" borderId="0" xfId="0" applyFill="1" applyAlignment="1">
      <alignment horizontal="left" vertical="top" wrapText="1" indent="5"/>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7" fillId="2" borderId="9" xfId="0" applyFont="1" applyFill="1" applyBorder="1" applyAlignment="1" applyProtection="1">
      <alignment horizontal="center"/>
      <protection locked="0"/>
    </xf>
    <xf numFmtId="14" fontId="7" fillId="2" borderId="7" xfId="0" applyNumberFormat="1" applyFont="1" applyFill="1" applyBorder="1" applyAlignment="1" applyProtection="1">
      <alignment horizontal="center"/>
      <protection locked="0"/>
    </xf>
    <xf numFmtId="14" fontId="7" fillId="2" borderId="8" xfId="0" applyNumberFormat="1" applyFont="1" applyFill="1" applyBorder="1" applyAlignment="1" applyProtection="1">
      <alignment horizontal="center"/>
      <protection locked="0"/>
    </xf>
    <xf numFmtId="14" fontId="7" fillId="2" borderId="9" xfId="0" applyNumberFormat="1" applyFont="1" applyFill="1" applyBorder="1" applyAlignment="1" applyProtection="1">
      <alignment horizontal="center"/>
      <protection locked="0"/>
    </xf>
    <xf numFmtId="0" fontId="31" fillId="2" borderId="0" xfId="0" applyFont="1" applyFill="1" applyAlignment="1" applyProtection="1">
      <alignment horizontal="left" vertical="top" wrapText="1"/>
      <protection locked="0"/>
    </xf>
    <xf numFmtId="2" fontId="0" fillId="2" borderId="1" xfId="0" applyNumberFormat="1" applyFill="1" applyBorder="1" applyAlignment="1" applyProtection="1">
      <alignment horizontal="center"/>
      <protection hidden="1"/>
    </xf>
    <xf numFmtId="0" fontId="0" fillId="2" borderId="1" xfId="0"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0" fontId="0" fillId="2" borderId="13" xfId="0" applyFill="1" applyBorder="1" applyAlignment="1">
      <alignment horizontal="left" vertical="top" wrapText="1"/>
    </xf>
    <xf numFmtId="0" fontId="0" fillId="2" borderId="1" xfId="0" applyFill="1" applyBorder="1" applyAlignment="1" applyProtection="1">
      <alignment horizontal="center"/>
      <protection locked="0"/>
    </xf>
    <xf numFmtId="164" fontId="0" fillId="2" borderId="1" xfId="0" applyNumberFormat="1" applyFill="1" applyBorder="1" applyAlignment="1">
      <alignment horizontal="center"/>
    </xf>
    <xf numFmtId="0" fontId="0" fillId="2" borderId="1" xfId="0" applyFill="1" applyBorder="1" applyAlignment="1" applyProtection="1">
      <alignment horizontal="center"/>
      <protection locked="0" hidden="1"/>
    </xf>
    <xf numFmtId="0" fontId="7" fillId="2" borderId="0" xfId="0" applyFont="1" applyFill="1" applyAlignment="1" applyProtection="1">
      <alignment horizontal="left" vertical="top" wrapText="1"/>
      <protection locked="0"/>
    </xf>
    <xf numFmtId="0" fontId="0" fillId="2" borderId="1" xfId="0" applyFill="1" applyBorder="1" applyAlignment="1">
      <alignment horizontal="center"/>
    </xf>
    <xf numFmtId="0" fontId="0" fillId="2" borderId="10"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4"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3" fillId="12" borderId="2" xfId="0" applyFont="1" applyFill="1" applyBorder="1" applyAlignment="1">
      <alignment horizontal="left" vertical="top" wrapText="1"/>
    </xf>
    <xf numFmtId="0" fontId="3" fillId="0" borderId="1" xfId="0" applyFont="1" applyBorder="1" applyAlignment="1">
      <alignment horizontal="center"/>
    </xf>
  </cellXfs>
  <cellStyles count="3">
    <cellStyle name="Comma" xfId="1" builtinId="3"/>
    <cellStyle name="Hyperlink" xfId="2" builtinId="8"/>
    <cellStyle name="Normal" xfId="0" builtinId="0"/>
  </cellStyles>
  <dxfs count="58">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b/>
        <i val="0"/>
        <color rgb="FFFF0000"/>
      </font>
      <fill>
        <patternFill patternType="none">
          <bgColor auto="1"/>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0"/>
      </font>
    </dxf>
    <dxf>
      <fill>
        <patternFill>
          <bgColor rgb="FFFF0000"/>
        </patternFill>
      </fill>
    </dxf>
    <dxf>
      <fill>
        <patternFill>
          <bgColor rgb="FFFFC000"/>
        </patternFill>
      </fill>
    </dxf>
    <dxf>
      <fill>
        <patternFill>
          <bgColor rgb="FFFFFF00"/>
        </patternFill>
      </fill>
    </dxf>
    <dxf>
      <fill>
        <patternFill>
          <bgColor rgb="FF92D050"/>
        </patternFill>
      </fill>
    </dxf>
    <dxf>
      <font>
        <color rgb="FFFF0000"/>
      </font>
    </dxf>
    <dxf>
      <font>
        <color rgb="FFFF0000"/>
      </font>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66FF"/>
      <color rgb="FF99CC00"/>
      <color rgb="FFFF0000"/>
      <color rgb="FFFFC000"/>
      <color rgb="FF0066FF"/>
      <color rgb="FF55E41C"/>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g"/><Relationship Id="rId3" Type="http://schemas.openxmlformats.org/officeDocument/2006/relationships/image" Target="../media/image6.jp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0" Type="http://schemas.openxmlformats.org/officeDocument/2006/relationships/image" Target="../media/image13.jpg"/><Relationship Id="rId4" Type="http://schemas.openxmlformats.org/officeDocument/2006/relationships/image" Target="../media/image7.pn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457200</xdr:colOff>
      <xdr:row>23</xdr:row>
      <xdr:rowOff>87374</xdr:rowOff>
    </xdr:to>
    <xdr:pic>
      <xdr:nvPicPr>
        <xdr:cNvPr id="4" name="Picture 3">
          <a:extLst>
            <a:ext uri="{FF2B5EF4-FFF2-40B4-BE49-F238E27FC236}">
              <a16:creationId xmlns:a16="http://schemas.microsoft.com/office/drawing/2014/main" id="{4A230120-8269-7463-37D2-5974E7BCD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097500" cy="4468874"/>
        </a:xfrm>
        <a:prstGeom prst="rect">
          <a:avLst/>
        </a:prstGeom>
      </xdr:spPr>
    </xdr:pic>
    <xdr:clientData/>
  </xdr:twoCellAnchor>
  <xdr:twoCellAnchor editAs="oneCell">
    <xdr:from>
      <xdr:col>0</xdr:col>
      <xdr:colOff>186410</xdr:colOff>
      <xdr:row>15</xdr:row>
      <xdr:rowOff>180975</xdr:rowOff>
    </xdr:from>
    <xdr:to>
      <xdr:col>8</xdr:col>
      <xdr:colOff>232964</xdr:colOff>
      <xdr:row>22</xdr:row>
      <xdr:rowOff>145719</xdr:rowOff>
    </xdr:to>
    <xdr:pic>
      <xdr:nvPicPr>
        <xdr:cNvPr id="3" name="Picture 2">
          <a:extLst>
            <a:ext uri="{FF2B5EF4-FFF2-40B4-BE49-F238E27FC236}">
              <a16:creationId xmlns:a16="http://schemas.microsoft.com/office/drawing/2014/main" id="{312DC420-7399-4F03-B766-2F084240B0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9233"/>
        <a:stretch/>
      </xdr:blipFill>
      <xdr:spPr bwMode="auto">
        <a:xfrm>
          <a:off x="186410" y="3038475"/>
          <a:ext cx="4504254" cy="1298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6" name="TextBox 5">
          <a:extLst>
            <a:ext uri="{FF2B5EF4-FFF2-40B4-BE49-F238E27FC236}">
              <a16:creationId xmlns:a16="http://schemas.microsoft.com/office/drawing/2014/main" id="{44586215-4DD3-42E0-9561-89656F03ED74}"/>
            </a:ext>
          </a:extLst>
        </xdr:cNvPr>
        <xdr:cNvSpPr txBox="1"/>
      </xdr:nvSpPr>
      <xdr:spPr>
        <a:xfrm>
          <a:off x="5181599" y="3095625"/>
          <a:ext cx="11534775" cy="1285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Blanket</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190499</xdr:colOff>
      <xdr:row>2</xdr:row>
      <xdr:rowOff>169948</xdr:rowOff>
    </xdr:from>
    <xdr:to>
      <xdr:col>6</xdr:col>
      <xdr:colOff>104775</xdr:colOff>
      <xdr:row>15</xdr:row>
      <xdr:rowOff>66675</xdr:rowOff>
    </xdr:to>
    <xdr:pic>
      <xdr:nvPicPr>
        <xdr:cNvPr id="7" name="Picture 6">
          <a:extLst>
            <a:ext uri="{FF2B5EF4-FFF2-40B4-BE49-F238E27FC236}">
              <a16:creationId xmlns:a16="http://schemas.microsoft.com/office/drawing/2014/main" id="{BE030B9E-C3A0-3B9B-6828-144B680790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39" b="32738"/>
        <a:stretch/>
      </xdr:blipFill>
      <xdr:spPr>
        <a:xfrm>
          <a:off x="190499" y="550948"/>
          <a:ext cx="3152776" cy="2373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514350</xdr:colOff>
      <xdr:row>97</xdr:row>
      <xdr:rowOff>47625</xdr:rowOff>
    </xdr:from>
    <xdr:to>
      <xdr:col>24</xdr:col>
      <xdr:colOff>441198</xdr:colOff>
      <xdr:row>108</xdr:row>
      <xdr:rowOff>116205</xdr:rowOff>
    </xdr:to>
    <xdr:pic>
      <xdr:nvPicPr>
        <xdr:cNvPr id="38" name="Picture 37">
          <a:extLst>
            <a:ext uri="{FF2B5EF4-FFF2-40B4-BE49-F238E27FC236}">
              <a16:creationId xmlns:a16="http://schemas.microsoft.com/office/drawing/2014/main" id="{FCB00E8F-F7A3-7C59-4E1D-DC73D2D94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68375" y="18640425"/>
          <a:ext cx="1755648" cy="2164080"/>
        </a:xfrm>
        <a:prstGeom prst="rect">
          <a:avLst/>
        </a:prstGeom>
      </xdr:spPr>
    </xdr:pic>
    <xdr:clientData/>
  </xdr:twoCellAnchor>
  <xdr:twoCellAnchor editAs="oneCell">
    <xdr:from>
      <xdr:col>18</xdr:col>
      <xdr:colOff>571500</xdr:colOff>
      <xdr:row>97</xdr:row>
      <xdr:rowOff>47625</xdr:rowOff>
    </xdr:from>
    <xdr:to>
      <xdr:col>21</xdr:col>
      <xdr:colOff>455676</xdr:colOff>
      <xdr:row>108</xdr:row>
      <xdr:rowOff>110109</xdr:rowOff>
    </xdr:to>
    <xdr:pic>
      <xdr:nvPicPr>
        <xdr:cNvPr id="36" name="Picture 35">
          <a:extLst>
            <a:ext uri="{FF2B5EF4-FFF2-40B4-BE49-F238E27FC236}">
              <a16:creationId xmlns:a16="http://schemas.microsoft.com/office/drawing/2014/main" id="{4F8D8B56-8B7F-A3FA-8481-F0C1083CA5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96725" y="18640425"/>
          <a:ext cx="1712976" cy="2157984"/>
        </a:xfrm>
        <a:prstGeom prst="rect">
          <a:avLst/>
        </a:prstGeom>
      </xdr:spPr>
    </xdr:pic>
    <xdr:clientData/>
  </xdr:twoCellAnchor>
  <xdr:twoCellAnchor editAs="oneCell">
    <xdr:from>
      <xdr:col>15</xdr:col>
      <xdr:colOff>123825</xdr:colOff>
      <xdr:row>18</xdr:row>
      <xdr:rowOff>142875</xdr:rowOff>
    </xdr:from>
    <xdr:to>
      <xdr:col>26</xdr:col>
      <xdr:colOff>211074</xdr:colOff>
      <xdr:row>30</xdr:row>
      <xdr:rowOff>45339</xdr:rowOff>
    </xdr:to>
    <xdr:pic>
      <xdr:nvPicPr>
        <xdr:cNvPr id="22" name="Picture 21">
          <a:extLst>
            <a:ext uri="{FF2B5EF4-FFF2-40B4-BE49-F238E27FC236}">
              <a16:creationId xmlns:a16="http://schemas.microsoft.com/office/drawing/2014/main" id="{5A3A8340-FB8F-CCF8-D56A-165DCD70BE8A}"/>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048875" y="3686175"/>
          <a:ext cx="6364224" cy="2188464"/>
        </a:xfrm>
        <a:prstGeom prst="rect">
          <a:avLst/>
        </a:prstGeom>
      </xdr:spPr>
    </xdr:pic>
    <xdr:clientData/>
  </xdr:twoCellAnchor>
  <xdr:oneCellAnchor>
    <xdr:from>
      <xdr:col>18</xdr:col>
      <xdr:colOff>581025</xdr:colOff>
      <xdr:row>107</xdr:row>
      <xdr:rowOff>9525</xdr:rowOff>
    </xdr:from>
    <xdr:ext cx="930319" cy="264560"/>
    <xdr:sp macro="" textlink="">
      <xdr:nvSpPr>
        <xdr:cNvPr id="5" name="TextBox 4">
          <a:extLst>
            <a:ext uri="{FF2B5EF4-FFF2-40B4-BE49-F238E27FC236}">
              <a16:creationId xmlns:a16="http://schemas.microsoft.com/office/drawing/2014/main" id="{8F9EC63B-E4F2-45B6-A43A-87BDF6E62DF6}"/>
            </a:ext>
          </a:extLst>
        </xdr:cNvPr>
        <xdr:cNvSpPr txBox="1"/>
      </xdr:nvSpPr>
      <xdr:spPr>
        <a:xfrm>
          <a:off x="13182600" y="205073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21</xdr:col>
      <xdr:colOff>495300</xdr:colOff>
      <xdr:row>107</xdr:row>
      <xdr:rowOff>9525</xdr:rowOff>
    </xdr:from>
    <xdr:ext cx="793615" cy="264560"/>
    <xdr:sp macro="" textlink="">
      <xdr:nvSpPr>
        <xdr:cNvPr id="14" name="TextBox 13">
          <a:extLst>
            <a:ext uri="{FF2B5EF4-FFF2-40B4-BE49-F238E27FC236}">
              <a16:creationId xmlns:a16="http://schemas.microsoft.com/office/drawing/2014/main" id="{1D98D210-D78A-466C-B401-F54FA5E3912E}"/>
            </a:ext>
          </a:extLst>
        </xdr:cNvPr>
        <xdr:cNvSpPr txBox="1"/>
      </xdr:nvSpPr>
      <xdr:spPr>
        <a:xfrm>
          <a:off x="14925675" y="205073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24</xdr:col>
      <xdr:colOff>518583</xdr:colOff>
      <xdr:row>98</xdr:row>
      <xdr:rowOff>52915</xdr:rowOff>
    </xdr:from>
    <xdr:to>
      <xdr:col>27</xdr:col>
      <xdr:colOff>24496</xdr:colOff>
      <xdr:row>107</xdr:row>
      <xdr:rowOff>107538</xdr:rowOff>
    </xdr:to>
    <xdr:pic>
      <xdr:nvPicPr>
        <xdr:cNvPr id="6" name="Picture 5">
          <a:extLst>
            <a:ext uri="{FF2B5EF4-FFF2-40B4-BE49-F238E27FC236}">
              <a16:creationId xmlns:a16="http://schemas.microsoft.com/office/drawing/2014/main" id="{82EBF3B9-95BD-460F-8EEB-11FA3BEAA52B}"/>
            </a:ext>
          </a:extLst>
        </xdr:cNvPr>
        <xdr:cNvPicPr>
          <a:picLocks noChangeAspect="1"/>
        </xdr:cNvPicPr>
      </xdr:nvPicPr>
      <xdr:blipFill>
        <a:blip xmlns:r="http://schemas.openxmlformats.org/officeDocument/2006/relationships" r:embed="rId4"/>
        <a:stretch>
          <a:fillRect/>
        </a:stretch>
      </xdr:blipFill>
      <xdr:spPr>
        <a:xfrm>
          <a:off x="16859250" y="18848915"/>
          <a:ext cx="1347413" cy="1769123"/>
        </a:xfrm>
        <a:prstGeom prst="rect">
          <a:avLst/>
        </a:prstGeom>
      </xdr:spPr>
    </xdr:pic>
    <xdr:clientData/>
  </xdr:twoCellAnchor>
  <xdr:oneCellAnchor>
    <xdr:from>
      <xdr:col>16</xdr:col>
      <xdr:colOff>333375</xdr:colOff>
      <xdr:row>42</xdr:row>
      <xdr:rowOff>38100</xdr:rowOff>
    </xdr:from>
    <xdr:ext cx="930319" cy="264560"/>
    <xdr:sp macro="" textlink="">
      <xdr:nvSpPr>
        <xdr:cNvPr id="20" name="TextBox 19">
          <a:extLst>
            <a:ext uri="{FF2B5EF4-FFF2-40B4-BE49-F238E27FC236}">
              <a16:creationId xmlns:a16="http://schemas.microsoft.com/office/drawing/2014/main" id="{0E3847A5-3F8D-40A1-A659-74A705AC5ADF}"/>
            </a:ext>
          </a:extLst>
        </xdr:cNvPr>
        <xdr:cNvSpPr txBox="1"/>
      </xdr:nvSpPr>
      <xdr:spPr>
        <a:xfrm>
          <a:off x="10439400" y="8153400"/>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22</xdr:col>
      <xdr:colOff>114300</xdr:colOff>
      <xdr:row>42</xdr:row>
      <xdr:rowOff>38100</xdr:rowOff>
    </xdr:from>
    <xdr:ext cx="793615" cy="264560"/>
    <xdr:sp macro="" textlink="">
      <xdr:nvSpPr>
        <xdr:cNvPr id="21" name="TextBox 20">
          <a:extLst>
            <a:ext uri="{FF2B5EF4-FFF2-40B4-BE49-F238E27FC236}">
              <a16:creationId xmlns:a16="http://schemas.microsoft.com/office/drawing/2014/main" id="{8172F9CB-CD56-44B5-8867-6B762B5D382F}"/>
            </a:ext>
          </a:extLst>
        </xdr:cNvPr>
        <xdr:cNvSpPr txBox="1"/>
      </xdr:nvSpPr>
      <xdr:spPr>
        <a:xfrm>
          <a:off x="13877925" y="8153400"/>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15</xdr:col>
      <xdr:colOff>123825</xdr:colOff>
      <xdr:row>5</xdr:row>
      <xdr:rowOff>114300</xdr:rowOff>
    </xdr:from>
    <xdr:to>
      <xdr:col>26</xdr:col>
      <xdr:colOff>607314</xdr:colOff>
      <xdr:row>17</xdr:row>
      <xdr:rowOff>41148</xdr:rowOff>
    </xdr:to>
    <xdr:pic>
      <xdr:nvPicPr>
        <xdr:cNvPr id="13" name="Picture 12">
          <a:extLst>
            <a:ext uri="{FF2B5EF4-FFF2-40B4-BE49-F238E27FC236}">
              <a16:creationId xmlns:a16="http://schemas.microsoft.com/office/drawing/2014/main" id="{D1C2AAC7-9729-6188-BB7C-6C4A6772C5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048875" y="1181100"/>
          <a:ext cx="6760464" cy="2212848"/>
        </a:xfrm>
        <a:prstGeom prst="rect">
          <a:avLst/>
        </a:prstGeom>
      </xdr:spPr>
    </xdr:pic>
    <xdr:clientData/>
  </xdr:twoCellAnchor>
  <xdr:twoCellAnchor editAs="oneCell">
    <xdr:from>
      <xdr:col>18</xdr:col>
      <xdr:colOff>104775</xdr:colOff>
      <xdr:row>31</xdr:row>
      <xdr:rowOff>171450</xdr:rowOff>
    </xdr:from>
    <xdr:to>
      <xdr:col>26</xdr:col>
      <xdr:colOff>238887</xdr:colOff>
      <xdr:row>43</xdr:row>
      <xdr:rowOff>55626</xdr:rowOff>
    </xdr:to>
    <xdr:pic>
      <xdr:nvPicPr>
        <xdr:cNvPr id="24" name="Picture 23">
          <a:extLst>
            <a:ext uri="{FF2B5EF4-FFF2-40B4-BE49-F238E27FC236}">
              <a16:creationId xmlns:a16="http://schemas.microsoft.com/office/drawing/2014/main" id="{A6399D52-533D-417E-4F62-B8FBE97B62B3}"/>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430000" y="6191250"/>
          <a:ext cx="5010912" cy="2170176"/>
        </a:xfrm>
        <a:prstGeom prst="rect">
          <a:avLst/>
        </a:prstGeom>
      </xdr:spPr>
    </xdr:pic>
    <xdr:clientData/>
  </xdr:twoCellAnchor>
  <xdr:twoCellAnchor editAs="oneCell">
    <xdr:from>
      <xdr:col>18</xdr:col>
      <xdr:colOff>85725</xdr:colOff>
      <xdr:row>44</xdr:row>
      <xdr:rowOff>171450</xdr:rowOff>
    </xdr:from>
    <xdr:to>
      <xdr:col>20</xdr:col>
      <xdr:colOff>585597</xdr:colOff>
      <xdr:row>56</xdr:row>
      <xdr:rowOff>49530</xdr:rowOff>
    </xdr:to>
    <xdr:pic>
      <xdr:nvPicPr>
        <xdr:cNvPr id="26" name="Picture 25">
          <a:extLst>
            <a:ext uri="{FF2B5EF4-FFF2-40B4-BE49-F238E27FC236}">
              <a16:creationId xmlns:a16="http://schemas.microsoft.com/office/drawing/2014/main" id="{C2B89792-6CF9-9886-8107-DB6F81E5B5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10950" y="8667750"/>
          <a:ext cx="1719072" cy="2164080"/>
        </a:xfrm>
        <a:prstGeom prst="rect">
          <a:avLst/>
        </a:prstGeom>
      </xdr:spPr>
    </xdr:pic>
    <xdr:clientData/>
  </xdr:twoCellAnchor>
  <xdr:twoCellAnchor editAs="oneCell">
    <xdr:from>
      <xdr:col>23</xdr:col>
      <xdr:colOff>314325</xdr:colOff>
      <xdr:row>45</xdr:row>
      <xdr:rowOff>9525</xdr:rowOff>
    </xdr:from>
    <xdr:to>
      <xdr:col>26</xdr:col>
      <xdr:colOff>198501</xdr:colOff>
      <xdr:row>56</xdr:row>
      <xdr:rowOff>59817</xdr:rowOff>
    </xdr:to>
    <xdr:pic>
      <xdr:nvPicPr>
        <xdr:cNvPr id="28" name="Picture 27">
          <a:extLst>
            <a:ext uri="{FF2B5EF4-FFF2-40B4-BE49-F238E27FC236}">
              <a16:creationId xmlns:a16="http://schemas.microsoft.com/office/drawing/2014/main" id="{FED06F16-7865-6EB9-65F5-595B4B0F340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687550" y="8696325"/>
          <a:ext cx="1712976" cy="2145792"/>
        </a:xfrm>
        <a:prstGeom prst="rect">
          <a:avLst/>
        </a:prstGeom>
      </xdr:spPr>
    </xdr:pic>
    <xdr:clientData/>
  </xdr:twoCellAnchor>
  <xdr:twoCellAnchor editAs="oneCell">
    <xdr:from>
      <xdr:col>18</xdr:col>
      <xdr:colOff>76200</xdr:colOff>
      <xdr:row>57</xdr:row>
      <xdr:rowOff>114300</xdr:rowOff>
    </xdr:from>
    <xdr:to>
      <xdr:col>26</xdr:col>
      <xdr:colOff>222504</xdr:colOff>
      <xdr:row>69</xdr:row>
      <xdr:rowOff>156972</xdr:rowOff>
    </xdr:to>
    <xdr:pic>
      <xdr:nvPicPr>
        <xdr:cNvPr id="30" name="Picture 29">
          <a:extLst>
            <a:ext uri="{FF2B5EF4-FFF2-40B4-BE49-F238E27FC236}">
              <a16:creationId xmlns:a16="http://schemas.microsoft.com/office/drawing/2014/main" id="{BC3E1AB9-9E7F-ECEE-C667-2AC38392D37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401425" y="11087100"/>
          <a:ext cx="5023104" cy="2328672"/>
        </a:xfrm>
        <a:prstGeom prst="rect">
          <a:avLst/>
        </a:prstGeom>
      </xdr:spPr>
    </xdr:pic>
    <xdr:clientData/>
  </xdr:twoCellAnchor>
  <xdr:twoCellAnchor editAs="oneCell">
    <xdr:from>
      <xdr:col>18</xdr:col>
      <xdr:colOff>76200</xdr:colOff>
      <xdr:row>70</xdr:row>
      <xdr:rowOff>85725</xdr:rowOff>
    </xdr:from>
    <xdr:to>
      <xdr:col>23</xdr:col>
      <xdr:colOff>326136</xdr:colOff>
      <xdr:row>82</xdr:row>
      <xdr:rowOff>110109</xdr:rowOff>
    </xdr:to>
    <xdr:pic>
      <xdr:nvPicPr>
        <xdr:cNvPr id="32" name="Picture 31">
          <a:extLst>
            <a:ext uri="{FF2B5EF4-FFF2-40B4-BE49-F238E27FC236}">
              <a16:creationId xmlns:a16="http://schemas.microsoft.com/office/drawing/2014/main" id="{78D7A21E-1705-A588-1FD6-0555C65CB29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401425" y="13535025"/>
          <a:ext cx="3297936" cy="2310384"/>
        </a:xfrm>
        <a:prstGeom prst="rect">
          <a:avLst/>
        </a:prstGeom>
      </xdr:spPr>
    </xdr:pic>
    <xdr:clientData/>
  </xdr:twoCellAnchor>
  <xdr:twoCellAnchor editAs="oneCell">
    <xdr:from>
      <xdr:col>18</xdr:col>
      <xdr:colOff>47625</xdr:colOff>
      <xdr:row>83</xdr:row>
      <xdr:rowOff>38100</xdr:rowOff>
    </xdr:from>
    <xdr:to>
      <xdr:col>23</xdr:col>
      <xdr:colOff>230505</xdr:colOff>
      <xdr:row>95</xdr:row>
      <xdr:rowOff>184404</xdr:rowOff>
    </xdr:to>
    <xdr:pic>
      <xdr:nvPicPr>
        <xdr:cNvPr id="34" name="Picture 33">
          <a:extLst>
            <a:ext uri="{FF2B5EF4-FFF2-40B4-BE49-F238E27FC236}">
              <a16:creationId xmlns:a16="http://schemas.microsoft.com/office/drawing/2014/main" id="{DC7E84BC-487B-DDEB-95F1-A518735B809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372850" y="15963900"/>
          <a:ext cx="3230880" cy="2432304"/>
        </a:xfrm>
        <a:prstGeom prst="rect">
          <a:avLst/>
        </a:prstGeom>
      </xdr:spPr>
    </xdr:pic>
    <xdr:clientData/>
  </xdr:twoCellAnchor>
  <xdr:twoCellAnchor editAs="oneCell">
    <xdr:from>
      <xdr:col>18</xdr:col>
      <xdr:colOff>85725</xdr:colOff>
      <xdr:row>110</xdr:row>
      <xdr:rowOff>57150</xdr:rowOff>
    </xdr:from>
    <xdr:to>
      <xdr:col>26</xdr:col>
      <xdr:colOff>433197</xdr:colOff>
      <xdr:row>118</xdr:row>
      <xdr:rowOff>124206</xdr:rowOff>
    </xdr:to>
    <xdr:pic>
      <xdr:nvPicPr>
        <xdr:cNvPr id="40" name="Picture 39">
          <a:extLst>
            <a:ext uri="{FF2B5EF4-FFF2-40B4-BE49-F238E27FC236}">
              <a16:creationId xmlns:a16="http://schemas.microsoft.com/office/drawing/2014/main" id="{F146C55F-3429-133B-099E-D05ABDF7B1D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10950" y="21126450"/>
          <a:ext cx="5224272" cy="1591056"/>
        </a:xfrm>
        <a:prstGeom prst="rect">
          <a:avLst/>
        </a:prstGeom>
      </xdr:spPr>
    </xdr:pic>
    <xdr:clientData/>
  </xdr:twoCellAnchor>
  <xdr:twoCellAnchor editAs="oneCell">
    <xdr:from>
      <xdr:col>18</xdr:col>
      <xdr:colOff>57150</xdr:colOff>
      <xdr:row>123</xdr:row>
      <xdr:rowOff>9525</xdr:rowOff>
    </xdr:from>
    <xdr:to>
      <xdr:col>26</xdr:col>
      <xdr:colOff>476250</xdr:colOff>
      <xdr:row>130</xdr:row>
      <xdr:rowOff>47625</xdr:rowOff>
    </xdr:to>
    <xdr:pic>
      <xdr:nvPicPr>
        <xdr:cNvPr id="42" name="Picture 41">
          <a:extLst>
            <a:ext uri="{FF2B5EF4-FFF2-40B4-BE49-F238E27FC236}">
              <a16:creationId xmlns:a16="http://schemas.microsoft.com/office/drawing/2014/main" id="{850E3A0B-7793-BAAC-CC3E-B3DF11F449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382375" y="23555325"/>
          <a:ext cx="5295900"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9525</xdr:colOff>
      <xdr:row>0</xdr:row>
      <xdr:rowOff>47626</xdr:rowOff>
    </xdr:from>
    <xdr:to>
      <xdr:col>21</xdr:col>
      <xdr:colOff>76200</xdr:colOff>
      <xdr:row>15</xdr:row>
      <xdr:rowOff>164410</xdr:rowOff>
    </xdr:to>
    <xdr:pic>
      <xdr:nvPicPr>
        <xdr:cNvPr id="8" name="Picture 7">
          <a:extLst>
            <a:ext uri="{FF2B5EF4-FFF2-40B4-BE49-F238E27FC236}">
              <a16:creationId xmlns:a16="http://schemas.microsoft.com/office/drawing/2014/main" id="{AD806C81-5DFD-4586-909F-F77BE0B2FBC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2942" y="47626"/>
          <a:ext cx="6967008" cy="3027201"/>
        </a:xfrm>
        <a:prstGeom prst="rect">
          <a:avLst/>
        </a:prstGeom>
      </xdr:spPr>
    </xdr:pic>
    <xdr:clientData/>
  </xdr:twoCellAnchor>
  <xdr:twoCellAnchor editAs="oneCell">
    <xdr:from>
      <xdr:col>14</xdr:col>
      <xdr:colOff>1162050</xdr:colOff>
      <xdr:row>19</xdr:row>
      <xdr:rowOff>26412</xdr:rowOff>
    </xdr:from>
    <xdr:to>
      <xdr:col>20</xdr:col>
      <xdr:colOff>559651</xdr:colOff>
      <xdr:row>33</xdr:row>
      <xdr:rowOff>114300</xdr:rowOff>
    </xdr:to>
    <xdr:pic>
      <xdr:nvPicPr>
        <xdr:cNvPr id="3" name="Picture 2">
          <a:extLst>
            <a:ext uri="{FF2B5EF4-FFF2-40B4-BE49-F238E27FC236}">
              <a16:creationId xmlns:a16="http://schemas.microsoft.com/office/drawing/2014/main" id="{30B0EDDC-D92A-4B80-88A5-3A0C303571D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353675" y="3693537"/>
          <a:ext cx="6855676" cy="2754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638175</xdr:colOff>
      <xdr:row>0</xdr:row>
      <xdr:rowOff>0</xdr:rowOff>
    </xdr:from>
    <xdr:to>
      <xdr:col>9</xdr:col>
      <xdr:colOff>190500</xdr:colOff>
      <xdr:row>11</xdr:row>
      <xdr:rowOff>3059</xdr:rowOff>
    </xdr:to>
    <xdr:pic>
      <xdr:nvPicPr>
        <xdr:cNvPr id="4" name="Picture 3">
          <a:extLst>
            <a:ext uri="{FF2B5EF4-FFF2-40B4-BE49-F238E27FC236}">
              <a16:creationId xmlns:a16="http://schemas.microsoft.com/office/drawing/2014/main" id="{5CD8113C-52AF-40DB-8B30-A6E9EE0620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90"/>
        <a:stretch/>
      </xdr:blipFill>
      <xdr:spPr>
        <a:xfrm>
          <a:off x="3686175" y="0"/>
          <a:ext cx="2295525" cy="210808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mapapps.bgs.ac.uk/geologyofbritain/home.html?" TargetMode="External"/><Relationship Id="rId7" Type="http://schemas.openxmlformats.org/officeDocument/2006/relationships/drawing" Target="../drawings/drawing2.xml"/><Relationship Id="rId2" Type="http://schemas.openxmlformats.org/officeDocument/2006/relationships/hyperlink" Target="https://magic.defra.gov.uk/MagicMap.aspx" TargetMode="External"/><Relationship Id="rId1" Type="http://schemas.openxmlformats.org/officeDocument/2006/relationships/hyperlink" Target="https://www.google.co.uk/earth/download/gep/agree.html" TargetMode="External"/><Relationship Id="rId6" Type="http://schemas.openxmlformats.org/officeDocument/2006/relationships/printerSettings" Target="../printerSettings/printerSettings2.bin"/><Relationship Id="rId5" Type="http://schemas.openxmlformats.org/officeDocument/2006/relationships/hyperlink" Target="../../../Director/Cache/naturescot.nexus.objective.co.uk%20uB406/A3967034/Annex%206%20Guide%20to%20MagicMap%20and%20Google%20Earth.pdf" TargetMode="External"/><Relationship Id="rId4" Type="http://schemas.openxmlformats.org/officeDocument/2006/relationships/hyperlink" Target="../../../Director/Cache/naturescot.nexus.objective.co.uk%20uB406/A3967034/Annex%206%20Guide%20to%20MagicMap%20and%20Google%20Earth.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5:AC45"/>
  <sheetViews>
    <sheetView tabSelected="1" zoomScaleNormal="100" workbookViewId="0">
      <selection activeCell="B35" sqref="B35"/>
    </sheetView>
  </sheetViews>
  <sheetFormatPr defaultColWidth="9.140625" defaultRowHeight="15"/>
  <cols>
    <col min="1" max="1" width="2.85546875" style="4" customWidth="1"/>
    <col min="2" max="28" width="9.140625" style="4"/>
    <col min="29" max="29" width="14.85546875" style="4" customWidth="1"/>
    <col min="30" max="16384" width="9.140625" style="4"/>
  </cols>
  <sheetData>
    <row r="25" spans="2:29" ht="15" customHeight="1">
      <c r="B25" s="210" t="s">
        <v>455</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row>
    <row r="26" spans="2:29" ht="15" customHeight="1">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row>
    <row r="27" spans="2:29" ht="15" customHeight="1">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row>
    <row r="28" spans="2:29" ht="15" customHeight="1">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row>
    <row r="29" spans="2:29" ht="20.100000000000001" customHeight="1">
      <c r="B29" s="32" t="s">
        <v>168</v>
      </c>
      <c r="C29" s="32" t="s">
        <v>171</v>
      </c>
    </row>
    <row r="30" spans="2:29" ht="20.100000000000001" customHeight="1">
      <c r="B30" s="32" t="s">
        <v>169</v>
      </c>
      <c r="C30" s="32" t="s">
        <v>172</v>
      </c>
    </row>
    <row r="31" spans="2:29" ht="20.100000000000001" customHeight="1">
      <c r="B31" s="32" t="s">
        <v>170</v>
      </c>
      <c r="C31" s="32" t="s">
        <v>173</v>
      </c>
    </row>
    <row r="32" spans="2:29" ht="15.75">
      <c r="B32" s="32"/>
    </row>
    <row r="33" spans="2:29" ht="20.100000000000001" customHeight="1">
      <c r="B33" s="211" t="s">
        <v>186</v>
      </c>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row>
    <row r="34" spans="2:29" ht="20.100000000000001" customHeight="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row>
    <row r="35" spans="2:29" ht="20.100000000000001" customHeight="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row>
    <row r="36" spans="2:29" ht="15" customHeight="1">
      <c r="B36" s="33"/>
      <c r="C36" s="33"/>
      <c r="D36" s="33"/>
      <c r="E36" s="33"/>
      <c r="F36" s="33"/>
      <c r="G36" s="33"/>
      <c r="H36" s="33"/>
      <c r="I36" s="33"/>
      <c r="J36" s="33"/>
      <c r="K36" s="33"/>
      <c r="L36" s="33"/>
      <c r="M36" s="33"/>
      <c r="N36" s="33"/>
      <c r="O36" s="33"/>
      <c r="P36" s="33"/>
      <c r="Q36" s="33"/>
      <c r="R36" s="33"/>
      <c r="S36" s="33"/>
      <c r="T36" s="33"/>
      <c r="U36" s="33"/>
      <c r="V36" s="33"/>
      <c r="W36" s="33"/>
      <c r="X36" s="34"/>
      <c r="Y36" s="33"/>
      <c r="Z36" s="33"/>
      <c r="AA36" s="33"/>
      <c r="AB36" s="33"/>
      <c r="AC36" s="165" t="s">
        <v>456</v>
      </c>
    </row>
    <row r="37" spans="2:29" ht="15" customHeight="1">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41" spans="2:29" s="90" customFormat="1">
      <c r="B41" s="203" t="s">
        <v>457</v>
      </c>
    </row>
    <row r="43" spans="2:29">
      <c r="B43" s="4" t="s">
        <v>459</v>
      </c>
      <c r="C43" s="4" t="s">
        <v>460</v>
      </c>
      <c r="D43" s="4" t="s">
        <v>283</v>
      </c>
    </row>
    <row r="44" spans="2:29">
      <c r="B44" s="128">
        <v>1.3</v>
      </c>
      <c r="C44" s="4" t="s">
        <v>461</v>
      </c>
      <c r="D44" s="4" t="s">
        <v>458</v>
      </c>
    </row>
    <row r="45" spans="2:29">
      <c r="B45" s="128">
        <v>1.4</v>
      </c>
      <c r="C45" s="4" t="s">
        <v>461</v>
      </c>
      <c r="D45" s="4" t="s">
        <v>462</v>
      </c>
    </row>
  </sheetData>
  <sheetProtection algorithmName="SHA-512" hashValue="2ZuX0APdMN8GVRV0XpS4gO5gh1Q3paY66bCjwbXXekmVE42t79Q3CLNzGs5S+WTv6XQHDbIA33K7ux9fES13dQ==" saltValue="XuJvh7Fg0QE7Bc0Z+JjjSw==" spinCount="100000" sheet="1" objects="1" scenarios="1"/>
  <mergeCells count="2">
    <mergeCell ref="B25:AC28"/>
    <mergeCell ref="B33:AC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205"/>
  <sheetViews>
    <sheetView zoomScale="90" zoomScaleNormal="90" workbookViewId="0">
      <selection activeCell="G78" sqref="G78"/>
    </sheetView>
  </sheetViews>
  <sheetFormatPr defaultRowHeight="15"/>
  <cols>
    <col min="8" max="8" width="11.7109375" customWidth="1"/>
    <col min="11" max="11" width="14.85546875" customWidth="1"/>
    <col min="12" max="12" width="37.28515625" style="2" customWidth="1"/>
    <col min="13" max="14" width="10.7109375" style="2" hidden="1" customWidth="1"/>
    <col min="15" max="15" width="2.7109375" style="5" customWidth="1"/>
    <col min="16" max="16" width="2.7109375" style="4" customWidth="1"/>
    <col min="17" max="27" width="9.140625" style="4"/>
    <col min="28" max="28" width="2.7109375" style="4" customWidth="1"/>
    <col min="29" max="30" width="9.140625" style="4"/>
    <col min="31" max="31" width="5.7109375" style="4" customWidth="1"/>
    <col min="32" max="65" width="9.140625" style="4"/>
  </cols>
  <sheetData>
    <row r="1" spans="1:31" ht="18.75">
      <c r="A1" s="17" t="s">
        <v>354</v>
      </c>
    </row>
    <row r="2" spans="1:31" ht="18.75">
      <c r="A2" s="3"/>
      <c r="B2" s="4"/>
      <c r="C2" s="4"/>
      <c r="D2" s="4"/>
      <c r="E2" s="4"/>
      <c r="F2" s="4"/>
      <c r="G2" s="4"/>
      <c r="H2" s="4"/>
      <c r="I2" s="4"/>
      <c r="J2" s="4"/>
      <c r="K2" s="4"/>
      <c r="L2" s="5"/>
      <c r="M2" s="107"/>
      <c r="N2" s="5"/>
    </row>
    <row r="3" spans="1:31" ht="15.75">
      <c r="A3" s="167" t="s">
        <v>447</v>
      </c>
      <c r="B3" s="30"/>
      <c r="C3" s="30"/>
      <c r="D3" s="30"/>
      <c r="E3" s="30"/>
      <c r="F3" s="30"/>
      <c r="G3" s="30"/>
      <c r="H3" s="30"/>
      <c r="I3" s="30"/>
      <c r="J3" s="30"/>
      <c r="K3" s="30"/>
      <c r="L3" s="47" t="s">
        <v>159</v>
      </c>
      <c r="M3" s="234" t="s">
        <v>27</v>
      </c>
      <c r="N3" s="234"/>
      <c r="O3" s="48"/>
      <c r="P3" s="40"/>
      <c r="Q3" s="46" t="s">
        <v>0</v>
      </c>
      <c r="R3" s="30"/>
      <c r="S3" s="30"/>
      <c r="T3" s="30"/>
      <c r="U3" s="30"/>
      <c r="V3" s="30"/>
      <c r="W3" s="30"/>
      <c r="X3" s="30"/>
      <c r="Y3" s="30"/>
      <c r="Z3" s="30"/>
      <c r="AA3" s="30"/>
      <c r="AB3" s="40"/>
      <c r="AC3" s="46" t="s">
        <v>160</v>
      </c>
      <c r="AD3" s="30"/>
      <c r="AE3" s="30"/>
    </row>
    <row r="4" spans="1:31" ht="15.75">
      <c r="A4" s="12"/>
      <c r="B4" s="4"/>
      <c r="C4" s="4"/>
      <c r="D4" s="4"/>
      <c r="E4" s="4"/>
      <c r="F4" s="4"/>
      <c r="G4" s="4"/>
      <c r="H4" s="4"/>
      <c r="I4" s="4"/>
      <c r="J4" s="4"/>
      <c r="K4" s="4"/>
      <c r="L4" s="5"/>
      <c r="M4" s="31"/>
      <c r="N4" s="31"/>
      <c r="O4" s="8"/>
      <c r="P4" s="10"/>
      <c r="Q4" s="6"/>
      <c r="AB4" s="10"/>
    </row>
    <row r="5" spans="1:31">
      <c r="A5" s="4"/>
      <c r="B5" s="4"/>
      <c r="C5" s="4"/>
      <c r="D5" s="4"/>
      <c r="E5" s="4"/>
      <c r="F5" s="4"/>
      <c r="G5" s="4"/>
      <c r="H5" s="4"/>
      <c r="I5" s="4"/>
      <c r="J5" s="4"/>
      <c r="K5" s="4"/>
      <c r="L5" s="5"/>
      <c r="M5" s="8" t="s">
        <v>28</v>
      </c>
      <c r="N5" s="8" t="s">
        <v>29</v>
      </c>
      <c r="O5" s="8"/>
      <c r="P5" s="10"/>
      <c r="Q5" s="4" t="s">
        <v>158</v>
      </c>
      <c r="AB5" s="10"/>
      <c r="AC5" s="4" t="s">
        <v>327</v>
      </c>
    </row>
    <row r="6" spans="1:31">
      <c r="A6" s="7" t="s">
        <v>25</v>
      </c>
      <c r="B6" s="4"/>
      <c r="C6" s="4"/>
      <c r="D6" s="4"/>
      <c r="E6" s="4"/>
      <c r="F6" s="4"/>
      <c r="G6" s="4"/>
      <c r="H6" s="4"/>
      <c r="I6" s="4"/>
      <c r="J6" s="4"/>
      <c r="K6" s="4"/>
      <c r="L6" s="190" t="s">
        <v>6</v>
      </c>
      <c r="M6" s="5">
        <f>VLOOKUP($L6,'Drop Down Options'!$D$7:$F$8,2,FALSE)</f>
        <v>0</v>
      </c>
      <c r="N6" s="5">
        <f>VLOOKUP($L6,'Drop Down Options'!$D$7:$F$8,3,FALSE)</f>
        <v>0</v>
      </c>
      <c r="P6" s="10"/>
      <c r="Q6" s="6"/>
      <c r="AB6" s="10"/>
    </row>
    <row r="7" spans="1:31">
      <c r="A7" s="213" t="s">
        <v>26</v>
      </c>
      <c r="B7" s="213"/>
      <c r="C7" s="213"/>
      <c r="D7" s="213"/>
      <c r="E7" s="213"/>
      <c r="F7" s="213"/>
      <c r="G7" s="213"/>
      <c r="H7" s="213"/>
      <c r="I7" s="213"/>
      <c r="J7" s="213"/>
      <c r="K7" s="213"/>
      <c r="L7" s="11"/>
      <c r="M7" s="5"/>
      <c r="N7" s="5"/>
      <c r="P7" s="10"/>
      <c r="AB7" s="10"/>
    </row>
    <row r="8" spans="1:31">
      <c r="A8" s="213"/>
      <c r="B8" s="213"/>
      <c r="C8" s="213"/>
      <c r="D8" s="213"/>
      <c r="E8" s="213"/>
      <c r="F8" s="213"/>
      <c r="G8" s="213"/>
      <c r="H8" s="213"/>
      <c r="I8" s="213"/>
      <c r="J8" s="213"/>
      <c r="K8" s="213"/>
      <c r="L8" s="11"/>
      <c r="M8" s="5"/>
      <c r="N8" s="5"/>
      <c r="P8" s="10"/>
      <c r="AB8" s="10"/>
    </row>
    <row r="9" spans="1:31">
      <c r="A9" s="9"/>
      <c r="B9" s="9"/>
      <c r="C9" s="9"/>
      <c r="D9" s="9"/>
      <c r="E9" s="9"/>
      <c r="F9" s="9"/>
      <c r="G9" s="9"/>
      <c r="H9" s="9"/>
      <c r="I9" s="9"/>
      <c r="J9" s="9"/>
      <c r="K9" s="9"/>
      <c r="L9" s="11"/>
      <c r="M9" s="5"/>
      <c r="N9" s="5"/>
      <c r="P9" s="10"/>
      <c r="AB9" s="10"/>
    </row>
    <row r="10" spans="1:31">
      <c r="A10" s="9"/>
      <c r="B10" s="9"/>
      <c r="C10" s="9"/>
      <c r="D10" s="9"/>
      <c r="E10" s="9"/>
      <c r="F10" s="9"/>
      <c r="G10" s="9"/>
      <c r="H10" s="9"/>
      <c r="I10" s="9"/>
      <c r="J10" s="9"/>
      <c r="K10" s="9"/>
      <c r="L10" s="11"/>
      <c r="M10" s="5"/>
      <c r="N10" s="5"/>
      <c r="P10" s="10"/>
      <c r="AB10" s="10"/>
    </row>
    <row r="11" spans="1:31">
      <c r="A11" s="9"/>
      <c r="B11" s="9"/>
      <c r="C11" s="9"/>
      <c r="D11" s="9"/>
      <c r="E11" s="9"/>
      <c r="F11" s="9"/>
      <c r="G11" s="9"/>
      <c r="H11" s="9"/>
      <c r="I11" s="9"/>
      <c r="J11" s="9"/>
      <c r="K11" s="9"/>
      <c r="L11" s="11"/>
      <c r="M11" s="5"/>
      <c r="N11" s="5"/>
      <c r="P11" s="10"/>
      <c r="AB11" s="10"/>
    </row>
    <row r="12" spans="1:31">
      <c r="A12" s="9"/>
      <c r="B12" s="9"/>
      <c r="C12" s="9"/>
      <c r="D12" s="9"/>
      <c r="E12" s="9"/>
      <c r="F12" s="9"/>
      <c r="G12" s="9"/>
      <c r="H12" s="9"/>
      <c r="I12" s="9"/>
      <c r="J12" s="9"/>
      <c r="K12" s="9"/>
      <c r="L12" s="11"/>
      <c r="M12" s="5"/>
      <c r="N12" s="5"/>
      <c r="P12" s="10"/>
      <c r="AB12" s="10"/>
    </row>
    <row r="13" spans="1:31">
      <c r="A13" s="9"/>
      <c r="B13" s="9"/>
      <c r="C13" s="9"/>
      <c r="D13" s="9"/>
      <c r="E13" s="9"/>
      <c r="F13" s="9"/>
      <c r="G13" s="9"/>
      <c r="H13" s="9"/>
      <c r="I13" s="9"/>
      <c r="J13" s="9"/>
      <c r="K13" s="9"/>
      <c r="L13" s="11"/>
      <c r="M13" s="5"/>
      <c r="N13" s="5"/>
      <c r="P13" s="10"/>
      <c r="AB13" s="10"/>
    </row>
    <row r="14" spans="1:31">
      <c r="A14" s="4"/>
      <c r="B14" s="4"/>
      <c r="C14" s="4"/>
      <c r="D14" s="4"/>
      <c r="E14" s="4"/>
      <c r="F14" s="4"/>
      <c r="G14" s="4"/>
      <c r="H14" s="4"/>
      <c r="I14" s="4"/>
      <c r="J14" s="4"/>
      <c r="K14" s="4"/>
      <c r="L14" s="11"/>
      <c r="M14" s="5"/>
      <c r="N14" s="5"/>
      <c r="P14" s="10"/>
      <c r="AB14" s="10"/>
    </row>
    <row r="15" spans="1:31">
      <c r="A15" s="4"/>
      <c r="B15" s="4"/>
      <c r="C15" s="4"/>
      <c r="D15" s="4"/>
      <c r="E15" s="4"/>
      <c r="F15" s="4"/>
      <c r="G15" s="4"/>
      <c r="H15" s="4"/>
      <c r="I15" s="4"/>
      <c r="J15" s="4"/>
      <c r="K15" s="4"/>
      <c r="L15" s="11"/>
      <c r="M15" s="5"/>
      <c r="N15" s="5"/>
      <c r="P15" s="10"/>
      <c r="AB15" s="10"/>
    </row>
    <row r="16" spans="1:31" ht="15" customHeight="1">
      <c r="A16" s="4"/>
      <c r="B16" s="4"/>
      <c r="C16" s="4"/>
      <c r="D16" s="4"/>
      <c r="E16" s="4"/>
      <c r="F16" s="4"/>
      <c r="G16" s="4"/>
      <c r="H16" s="4"/>
      <c r="I16" s="4"/>
      <c r="J16" s="4"/>
      <c r="K16" s="4"/>
      <c r="L16" s="11"/>
      <c r="M16" s="5"/>
      <c r="N16" s="5"/>
      <c r="P16" s="10"/>
      <c r="Q16" s="240"/>
      <c r="R16" s="240"/>
      <c r="S16" s="240"/>
      <c r="AB16" s="10"/>
    </row>
    <row r="17" spans="1:31">
      <c r="A17" s="4"/>
      <c r="B17" s="4"/>
      <c r="C17" s="4"/>
      <c r="D17" s="4"/>
      <c r="E17" s="4"/>
      <c r="F17" s="4"/>
      <c r="G17" s="4"/>
      <c r="H17" s="4"/>
      <c r="I17" s="4"/>
      <c r="J17" s="4"/>
      <c r="K17" s="4"/>
      <c r="L17" s="11"/>
      <c r="M17" s="5"/>
      <c r="N17" s="5"/>
      <c r="P17" s="10"/>
      <c r="Q17" s="240"/>
      <c r="R17" s="240"/>
      <c r="S17" s="240"/>
      <c r="AB17" s="10"/>
    </row>
    <row r="18" spans="1:31">
      <c r="A18" s="30"/>
      <c r="B18" s="30"/>
      <c r="C18" s="30"/>
      <c r="D18" s="30"/>
      <c r="E18" s="30"/>
      <c r="F18" s="30"/>
      <c r="G18" s="30"/>
      <c r="H18" s="30"/>
      <c r="I18" s="30"/>
      <c r="J18" s="30"/>
      <c r="K18" s="30"/>
      <c r="L18" s="39"/>
      <c r="M18" s="28"/>
      <c r="N18" s="28"/>
      <c r="O18" s="28"/>
      <c r="P18" s="40"/>
      <c r="Q18" s="30"/>
      <c r="R18" s="30"/>
      <c r="S18" s="30"/>
      <c r="T18" s="30"/>
      <c r="U18" s="30"/>
      <c r="V18" s="30"/>
      <c r="W18" s="30"/>
      <c r="X18" s="30"/>
      <c r="Y18" s="30"/>
      <c r="Z18" s="30"/>
      <c r="AA18" s="30"/>
      <c r="AB18" s="40"/>
      <c r="AC18" s="30"/>
      <c r="AD18" s="30"/>
      <c r="AE18" s="30"/>
    </row>
    <row r="19" spans="1:31">
      <c r="A19" s="4"/>
      <c r="B19" s="4"/>
      <c r="C19" s="4"/>
      <c r="D19" s="4"/>
      <c r="E19" s="4"/>
      <c r="F19" s="4"/>
      <c r="G19" s="4"/>
      <c r="H19" s="4"/>
      <c r="I19" s="4"/>
      <c r="J19" s="4"/>
      <c r="K19" s="4"/>
      <c r="L19" s="11"/>
      <c r="M19" s="5"/>
      <c r="N19" s="5"/>
      <c r="P19" s="10"/>
      <c r="AB19" s="10"/>
    </row>
    <row r="20" spans="1:31" ht="15" customHeight="1">
      <c r="A20" s="7" t="s">
        <v>54</v>
      </c>
      <c r="B20" s="4"/>
      <c r="C20" s="4"/>
      <c r="D20" s="4"/>
      <c r="E20" s="4"/>
      <c r="F20" s="4"/>
      <c r="G20" s="4"/>
      <c r="H20" s="4"/>
      <c r="I20" s="4"/>
      <c r="J20" s="4"/>
      <c r="K20" s="4"/>
      <c r="L20" s="190" t="s">
        <v>114</v>
      </c>
      <c r="M20" s="5">
        <f>VLOOKUP($L20,'Drop Down Options'!$D$21:$F$40,2,FALSE)</f>
        <v>0</v>
      </c>
      <c r="N20" s="5">
        <f>VLOOKUP($L20,'Drop Down Options'!$D$21:$F$40,3,FALSE)</f>
        <v>0</v>
      </c>
      <c r="P20" s="10"/>
      <c r="Q20" s="213" t="s">
        <v>175</v>
      </c>
      <c r="R20" s="213"/>
      <c r="V20" s="213" t="s">
        <v>174</v>
      </c>
      <c r="W20" s="213"/>
      <c r="AB20" s="10"/>
      <c r="AC20" s="4" t="s">
        <v>278</v>
      </c>
    </row>
    <row r="21" spans="1:31">
      <c r="A21" s="213" t="s">
        <v>188</v>
      </c>
      <c r="B21" s="213"/>
      <c r="C21" s="213"/>
      <c r="D21" s="213"/>
      <c r="E21" s="213"/>
      <c r="F21" s="213"/>
      <c r="G21" s="213"/>
      <c r="H21" s="213"/>
      <c r="I21" s="213"/>
      <c r="J21" s="213"/>
      <c r="K21" s="213"/>
      <c r="L21" s="22"/>
      <c r="M21" s="5"/>
      <c r="N21" s="5"/>
      <c r="P21" s="10"/>
      <c r="Q21" s="213"/>
      <c r="R21" s="213"/>
      <c r="V21" s="213"/>
      <c r="W21" s="213"/>
      <c r="AB21" s="10"/>
    </row>
    <row r="22" spans="1:31">
      <c r="A22" s="213"/>
      <c r="B22" s="213"/>
      <c r="C22" s="213"/>
      <c r="D22" s="213"/>
      <c r="E22" s="213"/>
      <c r="F22" s="213"/>
      <c r="G22" s="213"/>
      <c r="H22" s="213"/>
      <c r="I22" s="213"/>
      <c r="J22" s="213"/>
      <c r="K22" s="213"/>
      <c r="L22" s="11"/>
      <c r="M22" s="5"/>
      <c r="N22" s="5"/>
      <c r="P22" s="10"/>
      <c r="Q22" s="213"/>
      <c r="R22" s="213"/>
      <c r="V22" s="213"/>
      <c r="W22" s="213"/>
      <c r="AB22" s="10"/>
      <c r="AC22" s="213" t="s">
        <v>449</v>
      </c>
      <c r="AD22" s="213"/>
      <c r="AE22" s="213"/>
    </row>
    <row r="23" spans="1:31">
      <c r="A23" s="213"/>
      <c r="B23" s="213"/>
      <c r="C23" s="213"/>
      <c r="D23" s="213"/>
      <c r="E23" s="213"/>
      <c r="F23" s="213"/>
      <c r="G23" s="213"/>
      <c r="H23" s="213"/>
      <c r="I23" s="213"/>
      <c r="J23" s="213"/>
      <c r="K23" s="213"/>
      <c r="L23" s="11"/>
      <c r="M23" s="5"/>
      <c r="N23" s="5"/>
      <c r="P23" s="10"/>
      <c r="Q23" s="213"/>
      <c r="R23" s="213"/>
      <c r="V23" s="213"/>
      <c r="W23" s="213"/>
      <c r="AB23" s="10"/>
      <c r="AC23" s="213"/>
      <c r="AD23" s="213"/>
      <c r="AE23" s="213"/>
    </row>
    <row r="24" spans="1:31">
      <c r="A24" s="9"/>
      <c r="B24" s="9"/>
      <c r="C24" s="9"/>
      <c r="D24" s="9"/>
      <c r="E24" s="9"/>
      <c r="F24" s="9"/>
      <c r="G24" s="9"/>
      <c r="H24" s="9"/>
      <c r="I24" s="9"/>
      <c r="J24" s="9"/>
      <c r="K24" s="9"/>
      <c r="L24" s="11"/>
      <c r="M24" s="5"/>
      <c r="N24" s="5"/>
      <c r="P24" s="10"/>
      <c r="Q24" s="213"/>
      <c r="R24" s="213"/>
      <c r="V24" s="213"/>
      <c r="W24" s="213"/>
      <c r="AB24" s="10"/>
      <c r="AC24" s="213"/>
      <c r="AD24" s="213"/>
      <c r="AE24" s="213"/>
    </row>
    <row r="25" spans="1:31">
      <c r="A25" s="95"/>
      <c r="B25" s="9"/>
      <c r="C25" s="9"/>
      <c r="D25" s="9"/>
      <c r="E25" s="9"/>
      <c r="F25" s="9"/>
      <c r="G25" s="9"/>
      <c r="H25" s="9"/>
      <c r="I25" s="9"/>
      <c r="J25" s="9"/>
      <c r="K25" s="9"/>
      <c r="L25" s="11"/>
      <c r="M25" s="5"/>
      <c r="N25" s="5"/>
      <c r="P25" s="10"/>
      <c r="Q25" s="9"/>
      <c r="R25" s="9"/>
      <c r="AB25" s="10"/>
      <c r="AC25" s="213"/>
      <c r="AD25" s="213"/>
      <c r="AE25" s="213"/>
    </row>
    <row r="26" spans="1:31">
      <c r="A26" s="9"/>
      <c r="B26" s="9"/>
      <c r="C26" s="9"/>
      <c r="D26" s="9"/>
      <c r="E26" s="9"/>
      <c r="F26" s="9"/>
      <c r="G26" s="9"/>
      <c r="H26" s="9"/>
      <c r="I26" s="9"/>
      <c r="J26" s="9"/>
      <c r="K26" s="9"/>
      <c r="L26" s="11"/>
      <c r="M26" s="5"/>
      <c r="N26" s="5"/>
      <c r="P26" s="10"/>
      <c r="Q26" s="9"/>
      <c r="R26" s="9"/>
      <c r="AB26" s="10"/>
      <c r="AC26" s="213"/>
      <c r="AD26" s="213"/>
      <c r="AE26" s="213"/>
    </row>
    <row r="27" spans="1:31">
      <c r="A27" s="9"/>
      <c r="B27" s="9"/>
      <c r="C27" s="9"/>
      <c r="D27" s="9"/>
      <c r="E27" s="9"/>
      <c r="F27" s="9"/>
      <c r="G27" s="9"/>
      <c r="H27" s="9"/>
      <c r="I27" s="9"/>
      <c r="J27" s="9"/>
      <c r="K27" s="9"/>
      <c r="L27" s="11"/>
      <c r="M27" s="5"/>
      <c r="N27" s="5"/>
      <c r="P27" s="10"/>
      <c r="AB27" s="10"/>
      <c r="AC27" s="213"/>
      <c r="AD27" s="213"/>
      <c r="AE27" s="213"/>
    </row>
    <row r="28" spans="1:31">
      <c r="A28" s="9"/>
      <c r="B28" s="9"/>
      <c r="C28" s="9"/>
      <c r="D28" s="9"/>
      <c r="E28" s="9"/>
      <c r="F28" s="9"/>
      <c r="G28" s="9"/>
      <c r="H28" s="9"/>
      <c r="I28" s="9"/>
      <c r="J28" s="9"/>
      <c r="K28" s="9"/>
      <c r="L28" s="11"/>
      <c r="M28" s="5"/>
      <c r="N28" s="5"/>
      <c r="P28" s="10"/>
      <c r="AB28" s="10"/>
      <c r="AC28" s="213"/>
      <c r="AD28" s="213"/>
      <c r="AE28" s="213"/>
    </row>
    <row r="29" spans="1:31">
      <c r="A29" s="9"/>
      <c r="B29" s="9"/>
      <c r="C29" s="9"/>
      <c r="D29" s="9"/>
      <c r="E29" s="9"/>
      <c r="F29" s="9"/>
      <c r="G29" s="9"/>
      <c r="H29" s="9"/>
      <c r="I29" s="9"/>
      <c r="J29" s="9"/>
      <c r="K29" s="9"/>
      <c r="L29" s="11"/>
      <c r="M29" s="5"/>
      <c r="N29" s="5"/>
      <c r="P29" s="10"/>
      <c r="AB29" s="10"/>
      <c r="AC29" s="213"/>
      <c r="AD29" s="213"/>
      <c r="AE29" s="213"/>
    </row>
    <row r="30" spans="1:31">
      <c r="A30" s="9"/>
      <c r="B30" s="9"/>
      <c r="C30" s="9"/>
      <c r="D30" s="9"/>
      <c r="E30" s="9"/>
      <c r="F30" s="9"/>
      <c r="G30" s="9"/>
      <c r="H30" s="9"/>
      <c r="I30" s="9"/>
      <c r="J30" s="9"/>
      <c r="K30" s="9"/>
      <c r="L30" s="11"/>
      <c r="M30" s="5"/>
      <c r="N30" s="5"/>
      <c r="P30" s="10"/>
      <c r="AB30" s="10"/>
      <c r="AC30" s="213"/>
      <c r="AD30" s="213"/>
      <c r="AE30" s="213"/>
    </row>
    <row r="31" spans="1:31">
      <c r="A31" s="41"/>
      <c r="B31" s="41"/>
      <c r="C31" s="41"/>
      <c r="D31" s="41"/>
      <c r="E31" s="41"/>
      <c r="F31" s="41"/>
      <c r="G31" s="41"/>
      <c r="H31" s="41"/>
      <c r="I31" s="41"/>
      <c r="J31" s="41"/>
      <c r="K31" s="41"/>
      <c r="L31" s="39"/>
      <c r="M31" s="28"/>
      <c r="N31" s="28"/>
      <c r="O31" s="28"/>
      <c r="P31" s="40"/>
      <c r="Q31" s="30"/>
      <c r="R31" s="30"/>
      <c r="S31" s="30"/>
      <c r="T31" s="30"/>
      <c r="U31" s="30"/>
      <c r="V31" s="30"/>
      <c r="W31" s="30"/>
      <c r="X31" s="30"/>
      <c r="Y31" s="30"/>
      <c r="Z31" s="30"/>
      <c r="AA31" s="30"/>
      <c r="AB31" s="40"/>
      <c r="AC31" s="30"/>
      <c r="AD31" s="30"/>
      <c r="AE31" s="30"/>
    </row>
    <row r="32" spans="1:31">
      <c r="A32" s="9"/>
      <c r="B32" s="9"/>
      <c r="C32" s="9"/>
      <c r="D32" s="9"/>
      <c r="E32" s="9"/>
      <c r="F32" s="9"/>
      <c r="G32" s="9"/>
      <c r="H32" s="9"/>
      <c r="I32" s="9"/>
      <c r="J32" s="9"/>
      <c r="K32" s="9"/>
      <c r="L32" s="11"/>
      <c r="M32" s="5"/>
      <c r="N32" s="5"/>
      <c r="P32" s="10"/>
      <c r="AB32" s="10"/>
    </row>
    <row r="33" spans="1:32" ht="15" customHeight="1">
      <c r="A33" s="7" t="s">
        <v>7</v>
      </c>
      <c r="B33" s="4"/>
      <c r="C33" s="4"/>
      <c r="D33" s="4"/>
      <c r="E33" s="4"/>
      <c r="F33" s="4"/>
      <c r="G33" s="4"/>
      <c r="H33" s="4"/>
      <c r="I33" s="4"/>
      <c r="J33" s="4"/>
      <c r="K33" s="4"/>
      <c r="L33" s="11"/>
      <c r="M33" s="5"/>
      <c r="N33" s="5"/>
      <c r="P33" s="10"/>
      <c r="Q33" s="213" t="s">
        <v>176</v>
      </c>
      <c r="R33" s="213"/>
      <c r="V33" s="213" t="s">
        <v>274</v>
      </c>
      <c r="W33" s="213"/>
      <c r="AB33" s="10"/>
      <c r="AC33" s="4" t="s">
        <v>329</v>
      </c>
    </row>
    <row r="34" spans="1:32">
      <c r="A34" s="20" t="s">
        <v>156</v>
      </c>
      <c r="B34" s="4"/>
      <c r="C34" s="4"/>
      <c r="D34" s="4"/>
      <c r="E34" s="4"/>
      <c r="F34" s="4"/>
      <c r="G34" s="4"/>
      <c r="H34" s="4"/>
      <c r="I34" s="4"/>
      <c r="J34" s="4"/>
      <c r="K34" s="4"/>
      <c r="L34" s="11"/>
      <c r="M34" s="5"/>
      <c r="N34" s="5"/>
      <c r="P34" s="10"/>
      <c r="Q34" s="213"/>
      <c r="R34" s="213"/>
      <c r="V34" s="213"/>
      <c r="W34" s="213"/>
      <c r="AB34" s="10"/>
    </row>
    <row r="35" spans="1:32">
      <c r="A35" s="4" t="s">
        <v>32</v>
      </c>
      <c r="B35" s="4"/>
      <c r="C35" s="4"/>
      <c r="D35" s="4"/>
      <c r="E35" s="4"/>
      <c r="F35" s="4"/>
      <c r="G35" s="4"/>
      <c r="H35" s="4"/>
      <c r="I35" s="4"/>
      <c r="J35" s="4"/>
      <c r="K35" s="20" t="s">
        <v>35</v>
      </c>
      <c r="L35" s="191" t="s">
        <v>120</v>
      </c>
      <c r="M35" s="5">
        <f>IF(AND(L35="",L36="",L37=""),"Value required",VLOOKUP($L$35,'Drop Down Options'!$D$12:$I$18,5,FALSE))</f>
        <v>1</v>
      </c>
      <c r="N35" s="5">
        <f>IF(AND(L35="",L36="",L37=""),"Value required",VLOOKUP($L$35,'Drop Down Options'!$D$12:$I$18,6,FALSE))</f>
        <v>3</v>
      </c>
      <c r="P35" s="10"/>
      <c r="Q35" s="213"/>
      <c r="R35" s="213"/>
      <c r="V35" s="213"/>
      <c r="W35" s="213"/>
      <c r="AB35" s="10"/>
    </row>
    <row r="36" spans="1:32">
      <c r="A36" s="4" t="s">
        <v>30</v>
      </c>
      <c r="B36" s="4"/>
      <c r="C36" s="4"/>
      <c r="D36" s="4"/>
      <c r="E36" s="4"/>
      <c r="F36" s="4"/>
      <c r="G36" s="4"/>
      <c r="H36" s="4"/>
      <c r="I36" s="4"/>
      <c r="J36" s="4"/>
      <c r="K36" s="20" t="s">
        <v>36</v>
      </c>
      <c r="L36" s="191"/>
      <c r="M36" s="5" t="e">
        <f>IF(AND(L35="",L36="",L37=""),"Value required",VLOOKUP($L$36,'Drop Down Options'!$G$12:$I$18,2,FALSE))</f>
        <v>#N/A</v>
      </c>
      <c r="N36" s="5" t="e">
        <f>IF(AND(L35="",L36="",L37=""),"Value required",VLOOKUP($L$36,'Drop Down Options'!$G$12:$I$18,3,FALSE))</f>
        <v>#N/A</v>
      </c>
      <c r="P36" s="10"/>
      <c r="Q36" s="213"/>
      <c r="R36" s="213"/>
      <c r="V36" s="213"/>
      <c r="W36" s="213"/>
      <c r="AB36" s="10"/>
    </row>
    <row r="37" spans="1:32" ht="15" customHeight="1">
      <c r="A37" s="4" t="s">
        <v>31</v>
      </c>
      <c r="B37" s="4"/>
      <c r="C37" s="4"/>
      <c r="D37" s="4"/>
      <c r="E37" s="4"/>
      <c r="F37" s="4"/>
      <c r="G37" s="4"/>
      <c r="H37" s="4"/>
      <c r="I37" s="4"/>
      <c r="J37" s="4"/>
      <c r="K37" s="20" t="s">
        <v>33</v>
      </c>
      <c r="L37" s="192"/>
      <c r="M37" s="5" t="e">
        <f>IF(AND(L35="",L36="",L37=""),"Value required",IF(100*$L$37/$L$38&lt;='Drop Down Options'!$F$12,'Drop Down Options'!H12,IF(100*$L$37/$L$38&lt;='Drop Down Options'!$F$13,'Drop Down Options'!H13,IF(100*$L$37/$L$38&lt;='Drop Down Options'!$F$14,'Drop Down Options'!H14,IF(100*$L$37/$L$38&lt;='Drop Down Options'!$F$15,'Drop Down Options'!H15,IF(100*$L$37/$L$38&lt;='Drop Down Options'!$F$16,'Drop Down Options'!H16,IF(100*$L$37/$L$38&lt;='Drop Down Options'!$F$17,'Drop Down Options'!H17,'Drop Down Options'!H18)))))))</f>
        <v>#DIV/0!</v>
      </c>
      <c r="N37" s="5" t="e">
        <f>IF(AND(L35="",L36="",L37=""),"Value required",IF(100*$L$37/$L$38&lt;='Drop Down Options'!$F$12,'Drop Down Options'!I12,IF(100*$L$37/$L$38&lt;='Drop Down Options'!$F$13,'Drop Down Options'!I13,IF(100*$L$37/$L$38&lt;='Drop Down Options'!$F$14,'Drop Down Options'!I14,IF(100*$L$37/$L$38&lt;='Drop Down Options'!$F$15,'Drop Down Options'!I15,IF(100*$L$37/$L$38&lt;='Drop Down Options'!$F$16,'Drop Down Options'!I16,IF(100*$L$37/$L$38&lt;='Drop Down Options'!$F$17,'Drop Down Options'!I17,'Drop Down Options'!I18)))))))</f>
        <v>#DIV/0!</v>
      </c>
      <c r="P37" s="10"/>
      <c r="Q37" s="213"/>
      <c r="R37" s="213"/>
      <c r="V37" s="213"/>
      <c r="W37" s="213"/>
      <c r="AB37" s="10"/>
      <c r="AC37" s="213" t="s">
        <v>279</v>
      </c>
      <c r="AD37" s="213"/>
      <c r="AE37" s="213"/>
    </row>
    <row r="38" spans="1:32">
      <c r="A38" s="4" t="s">
        <v>42</v>
      </c>
      <c r="B38" s="4"/>
      <c r="C38" s="4"/>
      <c r="D38" s="4"/>
      <c r="E38" s="4"/>
      <c r="F38" s="4"/>
      <c r="G38" s="4"/>
      <c r="H38" s="4"/>
      <c r="I38" s="4"/>
      <c r="J38" s="4"/>
      <c r="K38" s="20" t="s">
        <v>34</v>
      </c>
      <c r="L38" s="193"/>
      <c r="M38" s="5"/>
      <c r="N38" s="5"/>
      <c r="P38" s="10"/>
      <c r="Q38" s="213"/>
      <c r="R38" s="213"/>
      <c r="V38" s="213"/>
      <c r="W38" s="213"/>
      <c r="AB38" s="10"/>
      <c r="AC38" s="213"/>
      <c r="AD38" s="213"/>
      <c r="AE38" s="213"/>
    </row>
    <row r="39" spans="1:32">
      <c r="A39" s="4"/>
      <c r="B39" s="4"/>
      <c r="C39" s="4"/>
      <c r="D39" s="4"/>
      <c r="E39" s="4"/>
      <c r="F39" s="4"/>
      <c r="G39" s="4"/>
      <c r="H39" s="4"/>
      <c r="I39" s="4"/>
      <c r="J39" s="4"/>
      <c r="K39" s="20"/>
      <c r="L39" s="35"/>
      <c r="M39" s="5"/>
      <c r="N39" s="5"/>
      <c r="P39" s="10"/>
      <c r="Q39" s="213"/>
      <c r="R39" s="213"/>
      <c r="V39" s="213"/>
      <c r="W39" s="213"/>
      <c r="AB39" s="10"/>
      <c r="AC39" s="213"/>
      <c r="AD39" s="213"/>
      <c r="AE39" s="213"/>
    </row>
    <row r="40" spans="1:32">
      <c r="A40" s="36" t="s">
        <v>177</v>
      </c>
      <c r="B40" s="9"/>
      <c r="C40" s="9"/>
      <c r="D40" s="9"/>
      <c r="E40" s="9"/>
      <c r="F40" s="4"/>
      <c r="G40" s="4"/>
      <c r="H40" s="4"/>
      <c r="I40" s="4"/>
      <c r="J40" s="4"/>
      <c r="K40" s="20"/>
      <c r="L40" s="35"/>
      <c r="M40" s="5"/>
      <c r="N40" s="5"/>
      <c r="P40" s="10"/>
      <c r="Q40" s="213"/>
      <c r="R40" s="213"/>
      <c r="V40" s="213"/>
      <c r="W40" s="213"/>
      <c r="AB40" s="10"/>
      <c r="AC40" s="213"/>
      <c r="AD40" s="213"/>
      <c r="AE40" s="213"/>
    </row>
    <row r="41" spans="1:32">
      <c r="A41" s="38" t="s">
        <v>178</v>
      </c>
      <c r="B41" s="9"/>
      <c r="C41" s="9"/>
      <c r="D41" s="9"/>
      <c r="E41" s="9"/>
      <c r="F41" s="4"/>
      <c r="G41" s="4" t="s">
        <v>183</v>
      </c>
      <c r="H41" s="4"/>
      <c r="I41" s="4"/>
      <c r="J41" s="4"/>
      <c r="K41" s="20"/>
      <c r="L41" s="35"/>
      <c r="M41" s="5"/>
      <c r="N41" s="5"/>
      <c r="P41" s="10"/>
      <c r="Q41" s="213"/>
      <c r="R41" s="213"/>
      <c r="V41" s="213"/>
      <c r="W41" s="213"/>
      <c r="AB41" s="10"/>
      <c r="AC41" s="214" t="s">
        <v>328</v>
      </c>
      <c r="AD41" s="214"/>
      <c r="AE41" s="214"/>
    </row>
    <row r="42" spans="1:32">
      <c r="A42" s="38" t="s">
        <v>179</v>
      </c>
      <c r="B42" s="9"/>
      <c r="C42" s="9"/>
      <c r="D42" s="9"/>
      <c r="E42" s="9"/>
      <c r="F42" s="4"/>
      <c r="G42" s="4" t="s">
        <v>182</v>
      </c>
      <c r="H42" s="4"/>
      <c r="I42" s="4"/>
      <c r="J42" s="4"/>
      <c r="K42" s="20"/>
      <c r="L42" s="35"/>
      <c r="M42" s="5"/>
      <c r="N42" s="5"/>
      <c r="P42" s="10"/>
      <c r="AB42" s="10"/>
    </row>
    <row r="43" spans="1:32">
      <c r="A43" s="4"/>
      <c r="B43" s="4"/>
      <c r="C43" s="4"/>
      <c r="D43" s="4"/>
      <c r="E43" s="4"/>
      <c r="F43" s="4"/>
      <c r="G43" s="4"/>
      <c r="H43" s="4"/>
      <c r="I43" s="4"/>
      <c r="J43" s="4"/>
      <c r="K43" s="20"/>
      <c r="L43" s="35"/>
      <c r="M43" s="5"/>
      <c r="N43" s="5"/>
      <c r="P43" s="10"/>
      <c r="AB43" s="10"/>
    </row>
    <row r="44" spans="1:32">
      <c r="A44" s="30"/>
      <c r="B44" s="30"/>
      <c r="C44" s="30"/>
      <c r="D44" s="30"/>
      <c r="E44" s="30"/>
      <c r="F44" s="30"/>
      <c r="G44" s="30"/>
      <c r="H44" s="30"/>
      <c r="I44" s="30"/>
      <c r="J44" s="30"/>
      <c r="K44" s="30"/>
      <c r="L44" s="42" t="e">
        <f>DEGREES(ATAN(L37/L38))</f>
        <v>#DIV/0!</v>
      </c>
      <c r="M44" s="28"/>
      <c r="N44" s="28"/>
      <c r="O44" s="28"/>
      <c r="P44" s="40"/>
      <c r="Q44" s="30"/>
      <c r="R44" s="30"/>
      <c r="S44" s="30"/>
      <c r="T44" s="30"/>
      <c r="U44" s="30"/>
      <c r="V44" s="30"/>
      <c r="W44" s="30"/>
      <c r="X44" s="30"/>
      <c r="Y44" s="30"/>
      <c r="Z44" s="30"/>
      <c r="AA44" s="30"/>
      <c r="AB44" s="40"/>
      <c r="AC44" s="30"/>
      <c r="AD44" s="30"/>
      <c r="AE44" s="30"/>
    </row>
    <row r="45" spans="1:32">
      <c r="A45" s="4"/>
      <c r="B45" s="4"/>
      <c r="C45" s="4"/>
      <c r="D45" s="4"/>
      <c r="E45" s="4"/>
      <c r="F45" s="4"/>
      <c r="G45" s="4"/>
      <c r="H45" s="4"/>
      <c r="I45" s="4"/>
      <c r="J45" s="4"/>
      <c r="K45" s="4"/>
      <c r="L45" s="43"/>
      <c r="M45" s="5"/>
      <c r="N45" s="5"/>
      <c r="P45" s="10"/>
      <c r="AB45" s="10"/>
    </row>
    <row r="46" spans="1:32" ht="15" customHeight="1">
      <c r="A46" s="7" t="s">
        <v>8</v>
      </c>
      <c r="B46" s="4"/>
      <c r="C46" s="4"/>
      <c r="D46" s="4"/>
      <c r="E46" s="4"/>
      <c r="F46" s="4"/>
      <c r="G46" s="4"/>
      <c r="H46" s="4"/>
      <c r="I46" s="4"/>
      <c r="J46" s="4"/>
      <c r="K46" s="4"/>
      <c r="L46" s="11"/>
      <c r="M46" s="5"/>
      <c r="N46" s="5"/>
      <c r="P46" s="10"/>
      <c r="AB46" s="10"/>
      <c r="AC46" s="4" t="s">
        <v>330</v>
      </c>
    </row>
    <row r="47" spans="1:32" ht="15" customHeight="1">
      <c r="A47" s="4" t="s">
        <v>40</v>
      </c>
      <c r="B47" s="4"/>
      <c r="C47" s="4"/>
      <c r="D47" s="4"/>
      <c r="E47" s="4"/>
      <c r="F47" s="4"/>
      <c r="G47" s="4"/>
      <c r="H47" s="4"/>
      <c r="I47" s="4"/>
      <c r="J47" s="4"/>
      <c r="K47" s="4"/>
      <c r="L47" s="190" t="s">
        <v>39</v>
      </c>
      <c r="M47" s="5">
        <f>VLOOKUP($L47,'Drop Down Options'!$D$43:$F$46,2,FALSE)</f>
        <v>1</v>
      </c>
      <c r="N47" s="5">
        <f>VLOOKUP($L47,'Drop Down Options'!$D$43:$F$46,3,FALSE)</f>
        <v>1</v>
      </c>
      <c r="P47" s="10"/>
      <c r="Q47" s="213" t="s">
        <v>184</v>
      </c>
      <c r="R47" s="213"/>
      <c r="V47" s="213" t="s">
        <v>185</v>
      </c>
      <c r="W47" s="213"/>
      <c r="AB47" s="10"/>
    </row>
    <row r="48" spans="1:32">
      <c r="A48" s="4" t="s">
        <v>41</v>
      </c>
      <c r="B48" s="4"/>
      <c r="C48" s="4"/>
      <c r="D48" s="4"/>
      <c r="E48" s="4"/>
      <c r="F48" s="4"/>
      <c r="G48" s="4"/>
      <c r="H48" s="4"/>
      <c r="I48" s="4"/>
      <c r="J48" s="4"/>
      <c r="K48" s="4"/>
      <c r="L48" s="11"/>
      <c r="M48" s="5"/>
      <c r="N48" s="5"/>
      <c r="P48" s="10"/>
      <c r="Q48" s="213"/>
      <c r="R48" s="213"/>
      <c r="V48" s="213"/>
      <c r="W48" s="213"/>
      <c r="AB48" s="10"/>
      <c r="AD48" s="212"/>
      <c r="AE48" s="212"/>
      <c r="AF48" s="212"/>
    </row>
    <row r="49" spans="1:31">
      <c r="A49" s="4"/>
      <c r="B49" s="4"/>
      <c r="C49" s="4"/>
      <c r="D49" s="4"/>
      <c r="E49" s="4"/>
      <c r="F49" s="4"/>
      <c r="G49" s="4"/>
      <c r="H49" s="4"/>
      <c r="I49" s="4"/>
      <c r="J49" s="4"/>
      <c r="K49" s="4"/>
      <c r="L49" s="11"/>
      <c r="M49" s="5"/>
      <c r="N49" s="5"/>
      <c r="P49" s="10"/>
      <c r="Q49" s="213"/>
      <c r="R49" s="213"/>
      <c r="V49" s="213"/>
      <c r="W49" s="213"/>
      <c r="AB49" s="10"/>
      <c r="AC49" s="13"/>
      <c r="AD49" s="13"/>
      <c r="AE49" s="13"/>
    </row>
    <row r="50" spans="1:31" ht="15" customHeight="1">
      <c r="A50" s="4" t="s">
        <v>177</v>
      </c>
      <c r="B50" s="4"/>
      <c r="C50" s="4"/>
      <c r="D50" s="4"/>
      <c r="E50" s="4"/>
      <c r="F50" s="4"/>
      <c r="G50" s="4"/>
      <c r="H50" s="4"/>
      <c r="I50" s="4"/>
      <c r="J50" s="4"/>
      <c r="K50" s="4"/>
      <c r="L50" s="11"/>
      <c r="M50" s="5"/>
      <c r="N50" s="5"/>
      <c r="P50" s="10"/>
      <c r="Q50" s="213"/>
      <c r="R50" s="213"/>
      <c r="V50" s="213"/>
      <c r="W50" s="213"/>
      <c r="AB50" s="10"/>
      <c r="AC50" s="213"/>
      <c r="AD50" s="213"/>
      <c r="AE50" s="213"/>
    </row>
    <row r="51" spans="1:31">
      <c r="A51" s="37" t="s">
        <v>180</v>
      </c>
      <c r="B51" s="4"/>
      <c r="C51" s="4"/>
      <c r="D51" s="4"/>
      <c r="E51" s="4"/>
      <c r="F51" s="4"/>
      <c r="G51" s="4" t="s">
        <v>181</v>
      </c>
      <c r="H51" s="4"/>
      <c r="I51" s="4"/>
      <c r="J51" s="4"/>
      <c r="K51" s="4"/>
      <c r="L51" s="11"/>
      <c r="M51" s="5"/>
      <c r="N51" s="5"/>
      <c r="P51" s="10"/>
      <c r="Q51" s="213"/>
      <c r="R51" s="213"/>
      <c r="V51" s="213"/>
      <c r="W51" s="213"/>
      <c r="AB51" s="10"/>
      <c r="AC51" s="213"/>
      <c r="AD51" s="213"/>
      <c r="AE51" s="213"/>
    </row>
    <row r="52" spans="1:31">
      <c r="A52" s="15" t="s">
        <v>448</v>
      </c>
      <c r="B52" s="4"/>
      <c r="C52" s="4"/>
      <c r="D52" s="4"/>
      <c r="E52" s="4"/>
      <c r="F52" s="4"/>
      <c r="G52" s="4"/>
      <c r="H52" s="4"/>
      <c r="I52" s="4"/>
      <c r="J52" s="4"/>
      <c r="K52" s="4"/>
      <c r="L52" s="11"/>
      <c r="M52" s="5"/>
      <c r="N52" s="5"/>
      <c r="P52" s="10"/>
      <c r="Q52" s="213"/>
      <c r="R52" s="213"/>
      <c r="V52" s="213"/>
      <c r="W52" s="213"/>
      <c r="AB52" s="10"/>
      <c r="AC52" s="213"/>
      <c r="AD52" s="213"/>
      <c r="AE52" s="213"/>
    </row>
    <row r="53" spans="1:31">
      <c r="A53" s="23"/>
      <c r="B53" s="4"/>
      <c r="C53" s="4"/>
      <c r="D53" s="4"/>
      <c r="E53" s="4"/>
      <c r="F53" s="4"/>
      <c r="G53" s="4"/>
      <c r="H53" s="4"/>
      <c r="I53" s="4"/>
      <c r="J53" s="4"/>
      <c r="K53" s="4"/>
      <c r="L53" s="11"/>
      <c r="M53" s="5"/>
      <c r="N53" s="5"/>
      <c r="P53" s="10"/>
      <c r="Q53" s="213"/>
      <c r="R53" s="213"/>
      <c r="V53" s="213"/>
      <c r="W53" s="213"/>
      <c r="AB53" s="10"/>
    </row>
    <row r="54" spans="1:31">
      <c r="A54" s="4"/>
      <c r="B54" s="4"/>
      <c r="C54" s="4"/>
      <c r="D54" s="4"/>
      <c r="E54" s="4"/>
      <c r="F54" s="4"/>
      <c r="G54" s="4"/>
      <c r="H54" s="4"/>
      <c r="I54" s="4"/>
      <c r="J54" s="4"/>
      <c r="K54" s="4"/>
      <c r="L54" s="11"/>
      <c r="M54" s="5"/>
      <c r="N54" s="5"/>
      <c r="P54" s="10"/>
      <c r="Q54" s="213"/>
      <c r="R54" s="213"/>
      <c r="V54" s="213"/>
      <c r="W54" s="213"/>
      <c r="AB54" s="10"/>
      <c r="AC54" s="212"/>
      <c r="AD54" s="212"/>
      <c r="AE54" s="212"/>
    </row>
    <row r="55" spans="1:31">
      <c r="A55" s="4"/>
      <c r="B55" s="4"/>
      <c r="C55" s="4"/>
      <c r="D55" s="4"/>
      <c r="E55" s="4"/>
      <c r="F55" s="4"/>
      <c r="G55" s="4"/>
      <c r="H55" s="4"/>
      <c r="I55" s="4"/>
      <c r="J55" s="4"/>
      <c r="K55" s="4"/>
      <c r="L55" s="11"/>
      <c r="M55" s="5"/>
      <c r="N55" s="5"/>
      <c r="P55" s="10"/>
      <c r="V55" s="213"/>
      <c r="W55" s="213"/>
      <c r="AB55" s="10"/>
      <c r="AC55" s="212"/>
      <c r="AD55" s="212"/>
      <c r="AE55" s="212"/>
    </row>
    <row r="56" spans="1:31">
      <c r="A56" s="4"/>
      <c r="B56" s="4"/>
      <c r="C56" s="4"/>
      <c r="D56" s="4"/>
      <c r="E56" s="4"/>
      <c r="F56" s="4"/>
      <c r="G56" s="4"/>
      <c r="H56" s="4"/>
      <c r="I56" s="4"/>
      <c r="J56" s="4"/>
      <c r="K56" s="4"/>
      <c r="L56" s="11"/>
      <c r="M56" s="5"/>
      <c r="N56" s="5"/>
      <c r="P56" s="10"/>
      <c r="V56" s="213"/>
      <c r="W56" s="213"/>
      <c r="AB56" s="10"/>
    </row>
    <row r="57" spans="1:31">
      <c r="A57" s="30"/>
      <c r="B57" s="30"/>
      <c r="C57" s="30"/>
      <c r="D57" s="30"/>
      <c r="E57" s="30"/>
      <c r="F57" s="30"/>
      <c r="G57" s="30"/>
      <c r="H57" s="30"/>
      <c r="I57" s="30"/>
      <c r="J57" s="30"/>
      <c r="K57" s="30"/>
      <c r="L57" s="39"/>
      <c r="M57" s="28"/>
      <c r="N57" s="28"/>
      <c r="O57" s="28"/>
      <c r="P57" s="40"/>
      <c r="Q57" s="30"/>
      <c r="R57" s="30"/>
      <c r="S57" s="30"/>
      <c r="T57" s="30"/>
      <c r="U57" s="30"/>
      <c r="V57" s="41"/>
      <c r="W57" s="41"/>
      <c r="X57" s="30"/>
      <c r="Y57" s="30"/>
      <c r="Z57" s="30"/>
      <c r="AA57" s="30"/>
      <c r="AB57" s="40"/>
      <c r="AC57" s="30"/>
      <c r="AD57" s="30"/>
      <c r="AE57" s="30"/>
    </row>
    <row r="58" spans="1:31">
      <c r="A58" s="4"/>
      <c r="B58" s="4"/>
      <c r="C58" s="4"/>
      <c r="D58" s="4"/>
      <c r="E58" s="4"/>
      <c r="F58" s="4"/>
      <c r="G58" s="4"/>
      <c r="H58" s="4"/>
      <c r="I58" s="4"/>
      <c r="J58" s="4"/>
      <c r="K58" s="4"/>
      <c r="L58" s="11"/>
      <c r="M58" s="5"/>
      <c r="N58" s="5"/>
      <c r="P58" s="10"/>
      <c r="V58" s="9"/>
      <c r="W58" s="9"/>
      <c r="AB58" s="10"/>
    </row>
    <row r="59" spans="1:31" ht="15" customHeight="1">
      <c r="A59" s="7" t="s">
        <v>9</v>
      </c>
      <c r="B59" s="4"/>
      <c r="C59" s="4"/>
      <c r="D59" s="4"/>
      <c r="E59" s="4"/>
      <c r="F59" s="4"/>
      <c r="G59" s="4"/>
      <c r="H59" s="4"/>
      <c r="I59" s="4"/>
      <c r="J59" s="4"/>
      <c r="K59" s="4"/>
      <c r="L59" s="190" t="s">
        <v>45</v>
      </c>
      <c r="M59" s="5">
        <f>VLOOKUP($L59,'Drop Down Options'!$D$49:$F$55,2,FALSE)</f>
        <v>2</v>
      </c>
      <c r="N59" s="5">
        <f>VLOOKUP($L59,'Drop Down Options'!$D$49:$F$55,3,FALSE)</f>
        <v>2</v>
      </c>
      <c r="P59" s="10"/>
      <c r="Q59" s="213" t="s">
        <v>275</v>
      </c>
      <c r="R59" s="213"/>
      <c r="AB59" s="10"/>
      <c r="AC59" s="4" t="s">
        <v>280</v>
      </c>
    </row>
    <row r="60" spans="1:31">
      <c r="A60" s="213" t="s">
        <v>49</v>
      </c>
      <c r="B60" s="213"/>
      <c r="C60" s="213"/>
      <c r="D60" s="213"/>
      <c r="E60" s="213"/>
      <c r="F60" s="213"/>
      <c r="G60" s="213"/>
      <c r="H60" s="213"/>
      <c r="I60" s="213"/>
      <c r="J60" s="213"/>
      <c r="K60" s="213"/>
      <c r="L60" s="11"/>
      <c r="M60" s="5"/>
      <c r="N60" s="5"/>
      <c r="P60" s="10"/>
      <c r="Q60" s="213"/>
      <c r="R60" s="213"/>
      <c r="AB60" s="10"/>
      <c r="AC60" s="4" t="s">
        <v>332</v>
      </c>
    </row>
    <row r="61" spans="1:31">
      <c r="A61" s="213"/>
      <c r="B61" s="213"/>
      <c r="C61" s="213"/>
      <c r="D61" s="213"/>
      <c r="E61" s="213"/>
      <c r="F61" s="213"/>
      <c r="G61" s="213"/>
      <c r="H61" s="213"/>
      <c r="I61" s="213"/>
      <c r="J61" s="213"/>
      <c r="K61" s="213"/>
      <c r="L61" s="5"/>
      <c r="M61" s="5"/>
      <c r="N61" s="5"/>
      <c r="P61" s="10"/>
      <c r="Q61" s="213"/>
      <c r="R61" s="213"/>
      <c r="AB61" s="10"/>
    </row>
    <row r="62" spans="1:31">
      <c r="A62" s="213"/>
      <c r="B62" s="213"/>
      <c r="C62" s="213"/>
      <c r="D62" s="213"/>
      <c r="E62" s="213"/>
      <c r="F62" s="213"/>
      <c r="G62" s="213"/>
      <c r="H62" s="213"/>
      <c r="I62" s="213"/>
      <c r="J62" s="213"/>
      <c r="K62" s="213"/>
      <c r="L62" s="5"/>
      <c r="M62" s="5"/>
      <c r="N62" s="5"/>
      <c r="P62" s="10"/>
      <c r="Q62" s="213"/>
      <c r="R62" s="213"/>
      <c r="AB62" s="10"/>
    </row>
    <row r="63" spans="1:31">
      <c r="A63" s="9"/>
      <c r="B63" s="9"/>
      <c r="C63" s="9"/>
      <c r="D63" s="9"/>
      <c r="E63" s="9"/>
      <c r="F63" s="9"/>
      <c r="G63" s="9"/>
      <c r="H63" s="9"/>
      <c r="I63" s="9"/>
      <c r="J63" s="9"/>
      <c r="K63" s="9"/>
      <c r="L63" s="235"/>
      <c r="M63" s="5"/>
      <c r="N63" s="5"/>
      <c r="P63" s="10"/>
      <c r="Q63" s="213"/>
      <c r="R63" s="213"/>
      <c r="AB63" s="10"/>
    </row>
    <row r="64" spans="1:31">
      <c r="A64" s="9"/>
      <c r="B64" s="9"/>
      <c r="C64" s="9"/>
      <c r="D64" s="9"/>
      <c r="E64" s="9"/>
      <c r="F64" s="9"/>
      <c r="G64" s="9"/>
      <c r="H64" s="9"/>
      <c r="I64" s="9"/>
      <c r="J64" s="9"/>
      <c r="K64" s="9"/>
      <c r="L64" s="235"/>
      <c r="M64" s="5"/>
      <c r="N64" s="5"/>
      <c r="P64" s="10"/>
      <c r="Q64" s="213"/>
      <c r="R64" s="213"/>
      <c r="AB64" s="10"/>
    </row>
    <row r="65" spans="1:31">
      <c r="A65" s="9"/>
      <c r="B65" s="9"/>
      <c r="C65" s="9"/>
      <c r="D65" s="9"/>
      <c r="E65" s="9"/>
      <c r="F65" s="9"/>
      <c r="G65" s="9"/>
      <c r="H65" s="9"/>
      <c r="I65" s="9"/>
      <c r="J65" s="9"/>
      <c r="K65" s="9"/>
      <c r="L65" s="235"/>
      <c r="M65" s="5"/>
      <c r="N65" s="5"/>
      <c r="P65" s="10"/>
      <c r="Q65" s="213"/>
      <c r="R65" s="213"/>
      <c r="AB65" s="10"/>
    </row>
    <row r="66" spans="1:31">
      <c r="A66" s="9"/>
      <c r="B66" s="9"/>
      <c r="C66" s="9"/>
      <c r="D66" s="9"/>
      <c r="E66" s="9"/>
      <c r="F66" s="9"/>
      <c r="G66" s="9"/>
      <c r="H66" s="9"/>
      <c r="I66" s="9"/>
      <c r="J66" s="9"/>
      <c r="K66" s="9"/>
      <c r="L66" s="5"/>
      <c r="M66" s="5"/>
      <c r="N66" s="5"/>
      <c r="P66" s="10"/>
      <c r="AB66" s="10"/>
    </row>
    <row r="67" spans="1:31">
      <c r="A67" s="9"/>
      <c r="B67" s="9"/>
      <c r="C67" s="9"/>
      <c r="D67" s="9"/>
      <c r="E67" s="9"/>
      <c r="F67" s="9"/>
      <c r="G67" s="9"/>
      <c r="H67" s="9"/>
      <c r="I67" s="9"/>
      <c r="J67" s="9"/>
      <c r="K67" s="9"/>
      <c r="L67" s="22"/>
      <c r="M67" s="5"/>
      <c r="N67" s="5"/>
      <c r="P67" s="10"/>
      <c r="AB67" s="10"/>
    </row>
    <row r="68" spans="1:31">
      <c r="A68" s="9"/>
      <c r="B68" s="9"/>
      <c r="C68" s="9"/>
      <c r="D68" s="9"/>
      <c r="E68" s="9"/>
      <c r="F68" s="9"/>
      <c r="G68" s="9"/>
      <c r="H68" s="9"/>
      <c r="I68" s="9"/>
      <c r="J68" s="9"/>
      <c r="K68" s="9"/>
      <c r="L68" s="5"/>
      <c r="M68" s="5"/>
      <c r="N68" s="5"/>
      <c r="P68" s="10"/>
      <c r="AB68" s="10"/>
    </row>
    <row r="69" spans="1:31">
      <c r="A69" s="9"/>
      <c r="B69" s="9"/>
      <c r="C69" s="9"/>
      <c r="D69" s="9"/>
      <c r="E69" s="9"/>
      <c r="F69" s="9"/>
      <c r="G69" s="9"/>
      <c r="H69" s="9"/>
      <c r="I69" s="9"/>
      <c r="J69" s="9"/>
      <c r="K69" s="9"/>
      <c r="L69" s="5"/>
      <c r="M69" s="5"/>
      <c r="N69" s="5"/>
      <c r="P69" s="10"/>
      <c r="AB69" s="10"/>
    </row>
    <row r="70" spans="1:31">
      <c r="A70" s="41"/>
      <c r="B70" s="41"/>
      <c r="C70" s="41"/>
      <c r="D70" s="41"/>
      <c r="E70" s="41"/>
      <c r="F70" s="41"/>
      <c r="G70" s="41"/>
      <c r="H70" s="41"/>
      <c r="I70" s="41"/>
      <c r="J70" s="41"/>
      <c r="K70" s="41"/>
      <c r="L70" s="28"/>
      <c r="M70" s="28"/>
      <c r="N70" s="28"/>
      <c r="O70" s="28"/>
      <c r="P70" s="40"/>
      <c r="Q70" s="30"/>
      <c r="R70" s="30"/>
      <c r="S70" s="30"/>
      <c r="T70" s="30"/>
      <c r="U70" s="30"/>
      <c r="V70" s="30"/>
      <c r="W70" s="30"/>
      <c r="X70" s="30"/>
      <c r="Y70" s="30"/>
      <c r="Z70" s="30"/>
      <c r="AA70" s="30"/>
      <c r="AB70" s="40"/>
      <c r="AC70" s="30"/>
      <c r="AD70" s="30"/>
      <c r="AE70" s="30"/>
    </row>
    <row r="71" spans="1:31">
      <c r="A71" s="4"/>
      <c r="B71" s="4"/>
      <c r="C71" s="4"/>
      <c r="D71" s="4"/>
      <c r="E71" s="4"/>
      <c r="F71" s="4"/>
      <c r="G71" s="4"/>
      <c r="H71" s="4"/>
      <c r="I71" s="4"/>
      <c r="J71" s="4"/>
      <c r="K71" s="4"/>
      <c r="L71" s="5"/>
      <c r="M71" s="5"/>
      <c r="N71" s="5"/>
      <c r="P71" s="10"/>
      <c r="AB71" s="10"/>
    </row>
    <row r="72" spans="1:31">
      <c r="A72" s="7" t="s">
        <v>10</v>
      </c>
      <c r="B72" s="4"/>
      <c r="C72" s="4"/>
      <c r="D72" s="4"/>
      <c r="E72" s="4"/>
      <c r="F72" s="4"/>
      <c r="G72" s="4"/>
      <c r="H72" s="4"/>
      <c r="I72" s="4"/>
      <c r="J72" s="4"/>
      <c r="K72" s="4"/>
      <c r="L72" s="190" t="s">
        <v>52</v>
      </c>
      <c r="M72" s="5">
        <f>VLOOKUP($L72,'Drop Down Options'!$D$58:$F$63,2,FALSE)</f>
        <v>0</v>
      </c>
      <c r="N72" s="5">
        <f>VLOOKUP($L72,'Drop Down Options'!$D$58:$F$63,3,FALSE)</f>
        <v>0</v>
      </c>
      <c r="P72" s="10"/>
      <c r="Q72" s="213" t="s">
        <v>276</v>
      </c>
      <c r="R72" s="213"/>
      <c r="AB72" s="10"/>
      <c r="AC72" s="4" t="s">
        <v>331</v>
      </c>
    </row>
    <row r="73" spans="1:31">
      <c r="A73" s="213" t="s">
        <v>53</v>
      </c>
      <c r="B73" s="213"/>
      <c r="C73" s="213"/>
      <c r="D73" s="213"/>
      <c r="E73" s="213"/>
      <c r="F73" s="213"/>
      <c r="G73" s="213"/>
      <c r="H73" s="213"/>
      <c r="I73" s="213"/>
      <c r="J73" s="213"/>
      <c r="K73" s="213"/>
      <c r="L73" s="5"/>
      <c r="M73" s="5"/>
      <c r="N73" s="5"/>
      <c r="P73" s="10"/>
      <c r="Q73" s="213"/>
      <c r="R73" s="213"/>
      <c r="AB73" s="10"/>
    </row>
    <row r="74" spans="1:31">
      <c r="A74" s="213"/>
      <c r="B74" s="213"/>
      <c r="C74" s="213"/>
      <c r="D74" s="213"/>
      <c r="E74" s="213"/>
      <c r="F74" s="213"/>
      <c r="G74" s="213"/>
      <c r="H74" s="213"/>
      <c r="I74" s="213"/>
      <c r="J74" s="213"/>
      <c r="K74" s="213"/>
      <c r="L74" s="5"/>
      <c r="M74" s="5"/>
      <c r="N74" s="5"/>
      <c r="P74" s="10"/>
      <c r="Q74" s="213"/>
      <c r="R74" s="213"/>
      <c r="AB74" s="10"/>
    </row>
    <row r="75" spans="1:31">
      <c r="A75" s="213"/>
      <c r="B75" s="213"/>
      <c r="C75" s="213"/>
      <c r="D75" s="213"/>
      <c r="E75" s="213"/>
      <c r="F75" s="213"/>
      <c r="G75" s="213"/>
      <c r="H75" s="213"/>
      <c r="I75" s="213"/>
      <c r="J75" s="213"/>
      <c r="K75" s="213"/>
      <c r="L75" s="5"/>
      <c r="M75" s="5"/>
      <c r="N75" s="5"/>
      <c r="P75" s="10"/>
      <c r="Q75" s="213"/>
      <c r="R75" s="213"/>
      <c r="AB75" s="10"/>
    </row>
    <row r="76" spans="1:31">
      <c r="A76" s="4"/>
      <c r="B76" s="4"/>
      <c r="C76" s="4"/>
      <c r="D76" s="4"/>
      <c r="E76" s="4"/>
      <c r="F76" s="4"/>
      <c r="G76" s="4"/>
      <c r="H76" s="4"/>
      <c r="I76" s="4"/>
      <c r="J76" s="4"/>
      <c r="K76" s="4"/>
      <c r="L76" s="5"/>
      <c r="M76" s="5"/>
      <c r="N76" s="5"/>
      <c r="P76" s="10"/>
      <c r="Q76" s="213"/>
      <c r="R76" s="213"/>
      <c r="AB76" s="10"/>
    </row>
    <row r="77" spans="1:31">
      <c r="A77" s="4"/>
      <c r="B77" s="4"/>
      <c r="C77" s="4"/>
      <c r="D77" s="4"/>
      <c r="E77" s="4"/>
      <c r="F77" s="4"/>
      <c r="G77" s="4"/>
      <c r="H77" s="4"/>
      <c r="I77" s="4"/>
      <c r="J77" s="4"/>
      <c r="K77" s="4"/>
      <c r="L77" s="5"/>
      <c r="M77" s="5"/>
      <c r="N77" s="5"/>
      <c r="P77" s="10"/>
      <c r="Q77" s="213"/>
      <c r="R77" s="213"/>
      <c r="AB77" s="10"/>
    </row>
    <row r="78" spans="1:31">
      <c r="A78" s="4"/>
      <c r="B78" s="4"/>
      <c r="C78" s="4"/>
      <c r="D78" s="4"/>
      <c r="E78" s="4"/>
      <c r="F78" s="4"/>
      <c r="G78" s="4"/>
      <c r="H78" s="4"/>
      <c r="I78" s="4"/>
      <c r="J78" s="4"/>
      <c r="K78" s="4"/>
      <c r="L78" s="5"/>
      <c r="M78" s="5"/>
      <c r="N78" s="5"/>
      <c r="P78" s="10"/>
      <c r="Q78" s="213"/>
      <c r="R78" s="213"/>
      <c r="AB78" s="10"/>
    </row>
    <row r="79" spans="1:31">
      <c r="A79" s="4"/>
      <c r="B79" s="4"/>
      <c r="C79" s="4"/>
      <c r="D79" s="4"/>
      <c r="E79" s="4"/>
      <c r="F79" s="4"/>
      <c r="G79" s="4"/>
      <c r="H79" s="4"/>
      <c r="I79" s="4"/>
      <c r="J79" s="4"/>
      <c r="K79" s="4"/>
      <c r="L79" s="5"/>
      <c r="M79" s="5"/>
      <c r="N79" s="5"/>
      <c r="P79" s="10"/>
      <c r="Q79" s="213"/>
      <c r="R79" s="213"/>
      <c r="AB79" s="10"/>
    </row>
    <row r="80" spans="1:31">
      <c r="A80" s="4"/>
      <c r="B80" s="4"/>
      <c r="C80" s="4"/>
      <c r="D80" s="4"/>
      <c r="E80" s="4"/>
      <c r="F80" s="4"/>
      <c r="G80" s="4"/>
      <c r="H80" s="4"/>
      <c r="I80" s="4"/>
      <c r="J80" s="4"/>
      <c r="K80" s="4"/>
      <c r="L80" s="5"/>
      <c r="M80" s="5"/>
      <c r="N80" s="5"/>
      <c r="P80" s="10"/>
      <c r="Q80" s="213"/>
      <c r="R80" s="213"/>
      <c r="AB80" s="10"/>
    </row>
    <row r="81" spans="1:31">
      <c r="A81" s="4"/>
      <c r="B81" s="4"/>
      <c r="C81" s="4"/>
      <c r="D81" s="4"/>
      <c r="E81" s="4"/>
      <c r="F81" s="4"/>
      <c r="G81" s="4"/>
      <c r="H81" s="4"/>
      <c r="I81" s="4"/>
      <c r="J81" s="4"/>
      <c r="K81" s="4"/>
      <c r="L81" s="5"/>
      <c r="M81" s="5"/>
      <c r="N81" s="5"/>
      <c r="P81" s="10"/>
      <c r="AB81" s="10"/>
    </row>
    <row r="82" spans="1:31">
      <c r="A82" s="4"/>
      <c r="B82" s="4"/>
      <c r="C82" s="4"/>
      <c r="D82" s="4"/>
      <c r="E82" s="4"/>
      <c r="F82" s="4"/>
      <c r="G82" s="4"/>
      <c r="H82" s="4"/>
      <c r="I82" s="4"/>
      <c r="J82" s="4"/>
      <c r="K82" s="4"/>
      <c r="L82" s="5"/>
      <c r="M82" s="5"/>
      <c r="N82" s="5"/>
      <c r="P82" s="10"/>
      <c r="AB82" s="10"/>
    </row>
    <row r="83" spans="1:31">
      <c r="A83" s="30"/>
      <c r="B83" s="30"/>
      <c r="C83" s="30"/>
      <c r="D83" s="30"/>
      <c r="E83" s="30"/>
      <c r="F83" s="30"/>
      <c r="G83" s="30"/>
      <c r="H83" s="30"/>
      <c r="I83" s="30"/>
      <c r="J83" s="30"/>
      <c r="K83" s="30"/>
      <c r="L83" s="28"/>
      <c r="M83" s="28"/>
      <c r="N83" s="28"/>
      <c r="O83" s="28"/>
      <c r="P83" s="40"/>
      <c r="Q83" s="30"/>
      <c r="R83" s="30"/>
      <c r="S83" s="30"/>
      <c r="T83" s="30"/>
      <c r="U83" s="30"/>
      <c r="V83" s="30"/>
      <c r="W83" s="30"/>
      <c r="X83" s="30"/>
      <c r="Y83" s="30"/>
      <c r="Z83" s="30"/>
      <c r="AA83" s="30"/>
      <c r="AB83" s="40"/>
      <c r="AC83" s="30"/>
      <c r="AD83" s="30"/>
      <c r="AE83" s="30"/>
    </row>
    <row r="84" spans="1:31">
      <c r="A84" s="4"/>
      <c r="B84" s="4"/>
      <c r="C84" s="4"/>
      <c r="D84" s="4"/>
      <c r="E84" s="4"/>
      <c r="F84" s="4"/>
      <c r="G84" s="4"/>
      <c r="H84" s="4"/>
      <c r="I84" s="4"/>
      <c r="J84" s="4"/>
      <c r="K84" s="4"/>
      <c r="L84" s="5"/>
      <c r="M84" s="5"/>
      <c r="N84" s="5"/>
      <c r="P84" s="10"/>
      <c r="AB84" s="10"/>
    </row>
    <row r="85" spans="1:31">
      <c r="A85" s="7" t="s">
        <v>11</v>
      </c>
      <c r="B85" s="4"/>
      <c r="C85" s="4"/>
      <c r="D85" s="4"/>
      <c r="E85" s="4"/>
      <c r="F85" s="4"/>
      <c r="G85" s="4"/>
      <c r="H85" s="4"/>
      <c r="I85" s="4"/>
      <c r="J85" s="4"/>
      <c r="K85" s="4"/>
      <c r="L85" s="190" t="s">
        <v>59</v>
      </c>
      <c r="M85" s="5">
        <f>VLOOKUP($L85,'Drop Down Options'!$D$66:$F$70,2,FALSE)</f>
        <v>0</v>
      </c>
      <c r="N85" s="5">
        <f>VLOOKUP($L85,'Drop Down Options'!$D$66:$F$70,3,FALSE)</f>
        <v>0</v>
      </c>
      <c r="P85" s="10"/>
      <c r="Q85" s="213" t="s">
        <v>368</v>
      </c>
      <c r="R85" s="213"/>
      <c r="AB85" s="10"/>
      <c r="AC85" s="4" t="s">
        <v>333</v>
      </c>
    </row>
    <row r="86" spans="1:31" ht="15" customHeight="1">
      <c r="A86" s="213" t="s">
        <v>66</v>
      </c>
      <c r="B86" s="213"/>
      <c r="C86" s="213"/>
      <c r="D86" s="213"/>
      <c r="E86" s="213"/>
      <c r="F86" s="213"/>
      <c r="G86" s="213"/>
      <c r="H86" s="213"/>
      <c r="I86" s="213"/>
      <c r="J86" s="213"/>
      <c r="K86" s="213"/>
      <c r="L86" s="5"/>
      <c r="M86" s="5"/>
      <c r="N86" s="5"/>
      <c r="P86" s="10"/>
      <c r="Q86" s="213"/>
      <c r="R86" s="213"/>
      <c r="AB86" s="10"/>
    </row>
    <row r="87" spans="1:31">
      <c r="A87" s="213"/>
      <c r="B87" s="213"/>
      <c r="C87" s="213"/>
      <c r="D87" s="213"/>
      <c r="E87" s="213"/>
      <c r="F87" s="213"/>
      <c r="G87" s="213"/>
      <c r="H87" s="213"/>
      <c r="I87" s="213"/>
      <c r="J87" s="213"/>
      <c r="K87" s="213"/>
      <c r="L87" s="5"/>
      <c r="M87" s="5"/>
      <c r="N87" s="5"/>
      <c r="P87" s="10"/>
      <c r="Q87" s="213"/>
      <c r="R87" s="213"/>
      <c r="S87" s="23"/>
      <c r="AB87" s="10"/>
    </row>
    <row r="88" spans="1:31">
      <c r="A88" s="213"/>
      <c r="B88" s="213"/>
      <c r="C88" s="213"/>
      <c r="D88" s="213"/>
      <c r="E88" s="213"/>
      <c r="F88" s="213"/>
      <c r="G88" s="213"/>
      <c r="H88" s="213"/>
      <c r="I88" s="213"/>
      <c r="J88" s="213"/>
      <c r="K88" s="213"/>
      <c r="L88" s="5"/>
      <c r="M88" s="5"/>
      <c r="N88" s="5"/>
      <c r="P88" s="10"/>
      <c r="Q88" s="213"/>
      <c r="R88" s="213"/>
      <c r="AB88" s="10"/>
    </row>
    <row r="89" spans="1:31">
      <c r="A89" s="9"/>
      <c r="B89" s="9"/>
      <c r="C89" s="9"/>
      <c r="D89" s="9"/>
      <c r="E89" s="9"/>
      <c r="F89" s="9"/>
      <c r="G89" s="9"/>
      <c r="H89" s="9"/>
      <c r="I89" s="9"/>
      <c r="J89" s="9"/>
      <c r="K89" s="9"/>
      <c r="L89" s="5"/>
      <c r="M89" s="5"/>
      <c r="N89" s="5"/>
      <c r="P89" s="10"/>
      <c r="Q89" s="213"/>
      <c r="R89" s="213"/>
      <c r="AB89" s="10"/>
    </row>
    <row r="90" spans="1:31">
      <c r="A90" s="9"/>
      <c r="B90" s="9"/>
      <c r="C90" s="9"/>
      <c r="D90" s="9"/>
      <c r="E90" s="9"/>
      <c r="F90" s="9"/>
      <c r="G90" s="9"/>
      <c r="H90" s="9"/>
      <c r="I90" s="9"/>
      <c r="J90" s="9"/>
      <c r="K90" s="9"/>
      <c r="L90" s="5"/>
      <c r="M90" s="5"/>
      <c r="N90" s="5"/>
      <c r="P90" s="10"/>
      <c r="Q90" s="213"/>
      <c r="R90" s="213"/>
      <c r="AB90" s="10"/>
    </row>
    <row r="91" spans="1:31">
      <c r="A91" s="9"/>
      <c r="B91" s="9"/>
      <c r="C91" s="9"/>
      <c r="D91" s="9"/>
      <c r="E91" s="9"/>
      <c r="F91" s="9"/>
      <c r="G91" s="9"/>
      <c r="H91" s="9"/>
      <c r="I91" s="9"/>
      <c r="J91" s="9"/>
      <c r="K91" s="9"/>
      <c r="L91" s="5"/>
      <c r="M91" s="5"/>
      <c r="N91" s="5"/>
      <c r="P91" s="10"/>
      <c r="Q91" s="213"/>
      <c r="R91" s="213"/>
      <c r="AB91" s="10"/>
    </row>
    <row r="92" spans="1:31">
      <c r="A92" s="9"/>
      <c r="B92" s="9"/>
      <c r="C92" s="9"/>
      <c r="D92" s="9"/>
      <c r="E92" s="9"/>
      <c r="F92" s="9"/>
      <c r="G92" s="9"/>
      <c r="H92" s="9"/>
      <c r="I92" s="9"/>
      <c r="J92" s="9"/>
      <c r="K92" s="9"/>
      <c r="L92" s="5"/>
      <c r="M92" s="5"/>
      <c r="N92" s="5"/>
      <c r="P92" s="10"/>
      <c r="AB92" s="10"/>
    </row>
    <row r="93" spans="1:31">
      <c r="A93" s="9"/>
      <c r="B93" s="9"/>
      <c r="C93" s="9"/>
      <c r="D93" s="9"/>
      <c r="E93" s="9"/>
      <c r="F93" s="9"/>
      <c r="G93" s="9"/>
      <c r="H93" s="9"/>
      <c r="I93" s="9"/>
      <c r="J93" s="9"/>
      <c r="K93" s="9"/>
      <c r="L93" s="5"/>
      <c r="M93" s="5"/>
      <c r="N93" s="5"/>
      <c r="P93" s="10"/>
      <c r="AB93" s="10"/>
    </row>
    <row r="94" spans="1:31">
      <c r="A94" s="9"/>
      <c r="B94" s="9"/>
      <c r="C94" s="9"/>
      <c r="D94" s="9"/>
      <c r="E94" s="9"/>
      <c r="F94" s="9"/>
      <c r="G94" s="9"/>
      <c r="H94" s="9"/>
      <c r="I94" s="9"/>
      <c r="J94" s="9"/>
      <c r="K94" s="9"/>
      <c r="L94" s="5"/>
      <c r="M94" s="5"/>
      <c r="N94" s="5"/>
      <c r="P94" s="10"/>
      <c r="AB94" s="10"/>
    </row>
    <row r="95" spans="1:31">
      <c r="A95" s="9"/>
      <c r="B95" s="9"/>
      <c r="C95" s="9"/>
      <c r="D95" s="9"/>
      <c r="E95" s="9"/>
      <c r="F95" s="9"/>
      <c r="G95" s="9"/>
      <c r="H95" s="9"/>
      <c r="I95" s="9"/>
      <c r="J95" s="9"/>
      <c r="K95" s="9"/>
      <c r="L95" s="5"/>
      <c r="M95" s="5"/>
      <c r="N95" s="5"/>
      <c r="P95" s="10"/>
      <c r="AB95" s="10"/>
    </row>
    <row r="96" spans="1:31">
      <c r="A96" s="41"/>
      <c r="B96" s="41"/>
      <c r="C96" s="41"/>
      <c r="D96" s="41"/>
      <c r="E96" s="41"/>
      <c r="F96" s="41"/>
      <c r="G96" s="41"/>
      <c r="H96" s="41"/>
      <c r="I96" s="41"/>
      <c r="J96" s="41"/>
      <c r="K96" s="41"/>
      <c r="L96" s="28"/>
      <c r="M96" s="28"/>
      <c r="N96" s="28"/>
      <c r="O96" s="28"/>
      <c r="P96" s="40"/>
      <c r="Q96" s="30"/>
      <c r="R96" s="30"/>
      <c r="S96" s="30"/>
      <c r="T96" s="30"/>
      <c r="U96" s="30"/>
      <c r="V96" s="30"/>
      <c r="W96" s="30"/>
      <c r="X96" s="30"/>
      <c r="Y96" s="30"/>
      <c r="Z96" s="30"/>
      <c r="AA96" s="30"/>
      <c r="AB96" s="40"/>
      <c r="AC96" s="30"/>
      <c r="AD96" s="30"/>
      <c r="AE96" s="30"/>
    </row>
    <row r="97" spans="1:31">
      <c r="A97" s="4"/>
      <c r="B97" s="4"/>
      <c r="C97" s="4"/>
      <c r="D97" s="4"/>
      <c r="E97" s="4"/>
      <c r="F97" s="4"/>
      <c r="G97" s="4"/>
      <c r="H97" s="4"/>
      <c r="I97" s="4"/>
      <c r="J97" s="4"/>
      <c r="K97" s="4"/>
      <c r="L97" s="5"/>
      <c r="M97" s="5"/>
      <c r="N97" s="5"/>
      <c r="P97" s="10"/>
      <c r="AB97" s="10"/>
    </row>
    <row r="98" spans="1:31" ht="15" customHeight="1">
      <c r="A98" s="14" t="s">
        <v>12</v>
      </c>
      <c r="B98" s="15"/>
      <c r="C98" s="15"/>
      <c r="D98" s="15"/>
      <c r="E98" s="15"/>
      <c r="F98" s="15"/>
      <c r="G98" s="15"/>
      <c r="H98" s="15"/>
      <c r="I98" s="15"/>
      <c r="J98" s="15"/>
      <c r="K98" s="15"/>
      <c r="L98" s="190" t="s">
        <v>65</v>
      </c>
      <c r="M98" s="5">
        <f>IF(L59="Undulating peat among rock outcrops",1,VLOOKUP($L98,'Drop Down Options'!$D$73:$F$76,2,FALSE))</f>
        <v>3</v>
      </c>
      <c r="N98" s="5">
        <f>IF(L59="Undulating peat among rock outcrops",1,VLOOKUP($L98,'Drop Down Options'!$D$73:$F$76,3,FALSE))</f>
        <v>2</v>
      </c>
      <c r="P98" s="10"/>
      <c r="Q98" s="213" t="s">
        <v>335</v>
      </c>
      <c r="R98" s="213"/>
      <c r="S98" s="213"/>
      <c r="T98" s="13"/>
      <c r="V98" s="213"/>
      <c r="W98" s="213"/>
      <c r="AB98" s="10"/>
      <c r="AC98" s="4" t="s">
        <v>334</v>
      </c>
    </row>
    <row r="99" spans="1:31" ht="15" customHeight="1">
      <c r="A99" s="213" t="s">
        <v>60</v>
      </c>
      <c r="B99" s="213"/>
      <c r="C99" s="213"/>
      <c r="D99" s="213"/>
      <c r="E99" s="213"/>
      <c r="F99" s="213"/>
      <c r="G99" s="213"/>
      <c r="H99" s="213"/>
      <c r="I99" s="213"/>
      <c r="J99" s="213"/>
      <c r="K99" s="213"/>
      <c r="L99" s="16"/>
      <c r="M99" s="16"/>
      <c r="N99" s="16"/>
      <c r="P99" s="10"/>
      <c r="Q99" s="213"/>
      <c r="R99" s="213"/>
      <c r="S99" s="213"/>
      <c r="T99" s="13"/>
      <c r="V99" s="213"/>
      <c r="W99" s="213"/>
      <c r="Z99" s="23"/>
      <c r="AB99" s="10"/>
    </row>
    <row r="100" spans="1:31">
      <c r="A100" s="213"/>
      <c r="B100" s="213"/>
      <c r="C100" s="213"/>
      <c r="D100" s="213"/>
      <c r="E100" s="213"/>
      <c r="F100" s="213"/>
      <c r="G100" s="213"/>
      <c r="H100" s="213"/>
      <c r="I100" s="213"/>
      <c r="J100" s="213"/>
      <c r="K100" s="213"/>
      <c r="L100" s="16"/>
      <c r="M100" s="16"/>
      <c r="N100" s="16"/>
      <c r="P100" s="10"/>
      <c r="Q100" s="213"/>
      <c r="R100" s="213"/>
      <c r="S100" s="213"/>
      <c r="T100" s="13"/>
      <c r="V100" s="213"/>
      <c r="W100" s="213"/>
      <c r="Z100" s="23"/>
      <c r="AB100" s="10"/>
    </row>
    <row r="101" spans="1:31" ht="15" customHeight="1">
      <c r="A101" s="13"/>
      <c r="B101" s="13"/>
      <c r="C101" s="13"/>
      <c r="D101" s="13"/>
      <c r="E101" s="13"/>
      <c r="F101" s="13"/>
      <c r="G101" s="13"/>
      <c r="H101" s="13"/>
      <c r="I101" s="13"/>
      <c r="J101" s="13"/>
      <c r="K101" s="13"/>
      <c r="L101" s="239" t="str">
        <f>IF(L59="Undulating peat among rock outcrops", "NOTE: If the answer to Q v) is " &amp; CHAR(34) &amp; " Undulating peat among rock outcrops " &amp; CHAR(34) &amp; " then the scores for this question will default to 1, the value for an undulating slope","")</f>
        <v/>
      </c>
      <c r="M101" s="16"/>
      <c r="N101" s="16"/>
      <c r="P101" s="10"/>
      <c r="Q101" s="213"/>
      <c r="R101" s="213"/>
      <c r="S101" s="213"/>
      <c r="T101" s="13"/>
      <c r="V101" s="213"/>
      <c r="W101" s="213"/>
      <c r="Z101" s="23"/>
      <c r="AB101" s="10"/>
    </row>
    <row r="102" spans="1:31">
      <c r="A102" s="160"/>
      <c r="B102" s="13"/>
      <c r="C102" s="13"/>
      <c r="D102" s="13"/>
      <c r="E102" s="13"/>
      <c r="F102" s="13"/>
      <c r="G102" s="13"/>
      <c r="H102" s="13"/>
      <c r="I102" s="13"/>
      <c r="J102" s="13"/>
      <c r="K102" s="13"/>
      <c r="L102" s="239"/>
      <c r="M102" s="16"/>
      <c r="N102" s="16"/>
      <c r="P102" s="10"/>
      <c r="Q102" s="213"/>
      <c r="R102" s="213"/>
      <c r="S102" s="213"/>
      <c r="T102" s="13"/>
      <c r="V102" s="213"/>
      <c r="W102" s="213"/>
      <c r="Z102" s="23"/>
      <c r="AB102" s="10"/>
      <c r="AC102" s="213" t="s">
        <v>279</v>
      </c>
      <c r="AD102" s="213"/>
      <c r="AE102" s="213"/>
    </row>
    <row r="103" spans="1:31">
      <c r="A103" s="13"/>
      <c r="B103" s="13"/>
      <c r="C103" s="13"/>
      <c r="D103" s="13"/>
      <c r="E103" s="13"/>
      <c r="F103" s="13"/>
      <c r="G103" s="13"/>
      <c r="H103" s="13"/>
      <c r="I103" s="13"/>
      <c r="J103" s="13"/>
      <c r="K103" s="13"/>
      <c r="L103" s="239"/>
      <c r="M103" s="16"/>
      <c r="N103" s="16"/>
      <c r="P103" s="10"/>
      <c r="Q103" s="213"/>
      <c r="R103" s="213"/>
      <c r="S103" s="213"/>
      <c r="T103" s="13"/>
      <c r="V103" s="213"/>
      <c r="W103" s="213"/>
      <c r="Z103" s="23"/>
      <c r="AB103" s="10"/>
      <c r="AC103" s="213"/>
      <c r="AD103" s="213"/>
      <c r="AE103" s="213"/>
    </row>
    <row r="104" spans="1:31">
      <c r="A104" s="13"/>
      <c r="B104" s="13"/>
      <c r="C104" s="13"/>
      <c r="D104" s="13"/>
      <c r="E104" s="13"/>
      <c r="F104" s="13"/>
      <c r="G104" s="13"/>
      <c r="H104" s="13"/>
      <c r="I104" s="13"/>
      <c r="J104" s="13"/>
      <c r="K104" s="13"/>
      <c r="L104" s="239"/>
      <c r="M104" s="16"/>
      <c r="N104" s="16"/>
      <c r="P104" s="10"/>
      <c r="Q104" s="213"/>
      <c r="R104" s="213"/>
      <c r="S104" s="213"/>
      <c r="T104" s="13"/>
      <c r="V104" s="213"/>
      <c r="W104" s="213"/>
      <c r="Z104" s="23"/>
      <c r="AB104" s="10"/>
      <c r="AC104" s="213"/>
      <c r="AD104" s="213"/>
      <c r="AE104" s="213"/>
    </row>
    <row r="105" spans="1:31">
      <c r="A105" s="13"/>
      <c r="B105" s="13"/>
      <c r="C105" s="13"/>
      <c r="D105" s="13"/>
      <c r="E105" s="13"/>
      <c r="F105" s="13"/>
      <c r="G105" s="13"/>
      <c r="H105" s="13"/>
      <c r="I105" s="13"/>
      <c r="J105" s="13"/>
      <c r="K105" s="13"/>
      <c r="L105" s="16"/>
      <c r="M105" s="16"/>
      <c r="N105" s="16"/>
      <c r="P105" s="10"/>
      <c r="Q105" s="213"/>
      <c r="R105" s="213"/>
      <c r="S105" s="213"/>
      <c r="T105" s="13"/>
      <c r="V105" s="213"/>
      <c r="W105" s="213"/>
      <c r="Z105" s="23"/>
      <c r="AB105" s="10"/>
      <c r="AC105" s="213"/>
      <c r="AD105" s="213"/>
      <c r="AE105" s="213"/>
    </row>
    <row r="106" spans="1:31">
      <c r="A106" s="13"/>
      <c r="B106" s="13"/>
      <c r="C106" s="13"/>
      <c r="D106" s="13"/>
      <c r="E106" s="13"/>
      <c r="F106" s="13"/>
      <c r="G106" s="13"/>
      <c r="H106" s="13"/>
      <c r="I106" s="13"/>
      <c r="J106" s="13"/>
      <c r="K106" s="13"/>
      <c r="L106" s="16"/>
      <c r="M106" s="16"/>
      <c r="N106" s="16"/>
      <c r="P106" s="10"/>
      <c r="Q106" s="213"/>
      <c r="R106" s="213"/>
      <c r="S106" s="213"/>
      <c r="T106" s="13"/>
      <c r="V106" s="213"/>
      <c r="W106" s="213"/>
      <c r="AB106" s="10"/>
      <c r="AC106" s="214" t="s">
        <v>328</v>
      </c>
      <c r="AD106" s="214"/>
      <c r="AE106" s="214"/>
    </row>
    <row r="107" spans="1:31">
      <c r="A107" s="13"/>
      <c r="B107" s="13"/>
      <c r="C107" s="13"/>
      <c r="D107" s="13"/>
      <c r="E107" s="13"/>
      <c r="F107" s="13"/>
      <c r="G107" s="13"/>
      <c r="H107" s="13"/>
      <c r="I107" s="13"/>
      <c r="J107" s="13"/>
      <c r="K107" s="13"/>
      <c r="L107" s="16"/>
      <c r="M107" s="16"/>
      <c r="N107" s="16"/>
      <c r="P107" s="10"/>
      <c r="Q107" s="213"/>
      <c r="R107" s="213"/>
      <c r="S107" s="213"/>
      <c r="T107" s="13"/>
      <c r="AB107" s="10"/>
    </row>
    <row r="108" spans="1:31">
      <c r="A108" s="13"/>
      <c r="B108" s="13"/>
      <c r="C108" s="13"/>
      <c r="D108" s="13"/>
      <c r="E108" s="13"/>
      <c r="F108" s="13"/>
      <c r="G108" s="13"/>
      <c r="H108" s="13"/>
      <c r="I108" s="13"/>
      <c r="J108" s="13"/>
      <c r="K108" s="13"/>
      <c r="L108" s="16"/>
      <c r="M108" s="16"/>
      <c r="N108" s="16"/>
      <c r="P108" s="10"/>
      <c r="Q108" s="213"/>
      <c r="R108" s="213"/>
      <c r="S108" s="213"/>
      <c r="AB108" s="10"/>
    </row>
    <row r="109" spans="1:31">
      <c r="A109" s="44"/>
      <c r="B109" s="44"/>
      <c r="C109" s="44"/>
      <c r="D109" s="44"/>
      <c r="E109" s="44"/>
      <c r="F109" s="44"/>
      <c r="G109" s="44"/>
      <c r="H109" s="44"/>
      <c r="I109" s="44"/>
      <c r="J109" s="44"/>
      <c r="K109" s="44"/>
      <c r="L109" s="45"/>
      <c r="M109" s="45"/>
      <c r="N109" s="45"/>
      <c r="O109" s="28"/>
      <c r="P109" s="40"/>
      <c r="Q109" s="30"/>
      <c r="R109" s="30"/>
      <c r="S109" s="30"/>
      <c r="T109" s="30"/>
      <c r="U109" s="30"/>
      <c r="V109" s="30"/>
      <c r="W109" s="30"/>
      <c r="X109" s="30"/>
      <c r="Y109" s="30"/>
      <c r="Z109" s="30"/>
      <c r="AA109" s="30"/>
      <c r="AB109" s="40"/>
      <c r="AC109" s="30"/>
      <c r="AD109" s="30"/>
      <c r="AE109" s="30"/>
    </row>
    <row r="110" spans="1:31">
      <c r="A110" s="13"/>
      <c r="B110" s="13"/>
      <c r="C110" s="13"/>
      <c r="D110" s="13"/>
      <c r="E110" s="13"/>
      <c r="F110" s="13"/>
      <c r="G110" s="13"/>
      <c r="H110" s="13"/>
      <c r="I110" s="13"/>
      <c r="J110" s="13"/>
      <c r="K110" s="13"/>
      <c r="L110" s="16"/>
      <c r="M110" s="16"/>
      <c r="N110" s="16"/>
      <c r="P110" s="10"/>
      <c r="AB110" s="10"/>
    </row>
    <row r="111" spans="1:31">
      <c r="A111" s="7" t="s">
        <v>13</v>
      </c>
      <c r="B111" s="4"/>
      <c r="C111" s="4"/>
      <c r="D111" s="4"/>
      <c r="E111" s="4"/>
      <c r="F111" s="4"/>
      <c r="G111" s="4"/>
      <c r="H111" s="4"/>
      <c r="I111" s="4"/>
      <c r="J111" s="4"/>
      <c r="K111" s="4"/>
      <c r="L111" s="190" t="s">
        <v>71</v>
      </c>
      <c r="M111" s="5">
        <f>VLOOKUP($L111,'Drop Down Options'!$D$79:$F$82,2,FALSE)</f>
        <v>0</v>
      </c>
      <c r="N111" s="5">
        <f>VLOOKUP($L111,'Drop Down Options'!$D$79:$F$82,3,FALSE)</f>
        <v>0</v>
      </c>
      <c r="P111" s="10"/>
      <c r="Q111" s="213" t="s">
        <v>187</v>
      </c>
      <c r="R111" s="213"/>
      <c r="AB111" s="10"/>
      <c r="AC111" s="4" t="s">
        <v>336</v>
      </c>
    </row>
    <row r="112" spans="1:31">
      <c r="A112" s="236" t="s">
        <v>67</v>
      </c>
      <c r="B112" s="236"/>
      <c r="C112" s="236"/>
      <c r="D112" s="236"/>
      <c r="E112" s="236"/>
      <c r="F112" s="236"/>
      <c r="G112" s="236"/>
      <c r="H112" s="236"/>
      <c r="I112" s="236"/>
      <c r="J112" s="236"/>
      <c r="K112" s="236"/>
      <c r="L112" s="5"/>
      <c r="M112" s="5"/>
      <c r="N112" s="5"/>
      <c r="P112" s="10"/>
      <c r="Q112" s="213"/>
      <c r="R112" s="213"/>
      <c r="AB112" s="10"/>
    </row>
    <row r="113" spans="1:31">
      <c r="A113" s="236"/>
      <c r="B113" s="236"/>
      <c r="C113" s="236"/>
      <c r="D113" s="236"/>
      <c r="E113" s="236"/>
      <c r="F113" s="236"/>
      <c r="G113" s="236"/>
      <c r="H113" s="236"/>
      <c r="I113" s="236"/>
      <c r="J113" s="236"/>
      <c r="K113" s="236"/>
      <c r="L113" s="5"/>
      <c r="M113" s="5"/>
      <c r="N113" s="5"/>
      <c r="P113" s="10"/>
      <c r="Q113" s="213"/>
      <c r="R113" s="213"/>
      <c r="AB113" s="10"/>
    </row>
    <row r="114" spans="1:31">
      <c r="A114" s="236"/>
      <c r="B114" s="236"/>
      <c r="C114" s="236"/>
      <c r="D114" s="236"/>
      <c r="E114" s="236"/>
      <c r="F114" s="236"/>
      <c r="G114" s="236"/>
      <c r="H114" s="236"/>
      <c r="I114" s="236"/>
      <c r="J114" s="236"/>
      <c r="K114" s="236"/>
      <c r="L114" s="5"/>
      <c r="M114" s="5"/>
      <c r="N114" s="5"/>
      <c r="P114" s="10"/>
      <c r="Q114" s="213"/>
      <c r="R114" s="213"/>
      <c r="AB114" s="10"/>
    </row>
    <row r="115" spans="1:31">
      <c r="A115" s="13"/>
      <c r="B115" s="13"/>
      <c r="C115" s="13"/>
      <c r="D115" s="13"/>
      <c r="E115" s="13"/>
      <c r="F115" s="13"/>
      <c r="G115" s="13"/>
      <c r="H115" s="13"/>
      <c r="I115" s="13"/>
      <c r="J115" s="13"/>
      <c r="K115" s="13"/>
      <c r="L115" s="5"/>
      <c r="M115" s="5"/>
      <c r="N115" s="5"/>
      <c r="P115" s="10"/>
      <c r="Q115" s="213"/>
      <c r="R115" s="213"/>
      <c r="AB115" s="10"/>
    </row>
    <row r="116" spans="1:31">
      <c r="A116" s="96"/>
      <c r="B116" s="13"/>
      <c r="C116" s="13"/>
      <c r="D116" s="13"/>
      <c r="E116" s="13"/>
      <c r="F116" s="13"/>
      <c r="G116" s="13"/>
      <c r="H116" s="13"/>
      <c r="I116" s="13"/>
      <c r="J116" s="13"/>
      <c r="K116" s="13"/>
      <c r="L116" s="5"/>
      <c r="M116" s="5"/>
      <c r="N116" s="5"/>
      <c r="P116" s="10"/>
      <c r="Q116" s="213"/>
      <c r="R116" s="213"/>
      <c r="AB116" s="10"/>
    </row>
    <row r="117" spans="1:31">
      <c r="A117" s="13"/>
      <c r="B117" s="13"/>
      <c r="C117" s="13"/>
      <c r="D117" s="13"/>
      <c r="E117" s="13"/>
      <c r="F117" s="13"/>
      <c r="G117" s="13"/>
      <c r="H117" s="13"/>
      <c r="I117" s="13"/>
      <c r="J117" s="13"/>
      <c r="K117" s="13"/>
      <c r="L117" s="5"/>
      <c r="M117" s="5"/>
      <c r="N117" s="5"/>
      <c r="P117" s="10"/>
      <c r="Q117" s="213"/>
      <c r="R117" s="213"/>
      <c r="AB117" s="10"/>
    </row>
    <row r="118" spans="1:31">
      <c r="A118" s="13"/>
      <c r="B118" s="13"/>
      <c r="C118" s="13"/>
      <c r="D118" s="13"/>
      <c r="E118" s="13"/>
      <c r="F118" s="13"/>
      <c r="G118" s="13"/>
      <c r="H118" s="13"/>
      <c r="I118" s="13"/>
      <c r="J118" s="13"/>
      <c r="K118" s="13"/>
      <c r="L118" s="5"/>
      <c r="M118" s="5"/>
      <c r="N118" s="5"/>
      <c r="P118" s="10"/>
      <c r="Q118" s="213"/>
      <c r="R118" s="213"/>
      <c r="AB118" s="10"/>
    </row>
    <row r="119" spans="1:31">
      <c r="A119" s="13"/>
      <c r="B119" s="13"/>
      <c r="C119" s="13"/>
      <c r="D119" s="13"/>
      <c r="E119" s="13"/>
      <c r="F119" s="13"/>
      <c r="G119" s="13"/>
      <c r="H119" s="13"/>
      <c r="I119" s="13"/>
      <c r="J119" s="13"/>
      <c r="K119" s="13"/>
      <c r="L119" s="5"/>
      <c r="M119" s="5"/>
      <c r="N119" s="5"/>
      <c r="P119" s="10"/>
      <c r="Q119" s="213"/>
      <c r="R119" s="213"/>
      <c r="AB119" s="10"/>
    </row>
    <row r="120" spans="1:31">
      <c r="A120" s="13"/>
      <c r="B120" s="13"/>
      <c r="C120" s="13"/>
      <c r="D120" s="13"/>
      <c r="E120" s="13"/>
      <c r="F120" s="13"/>
      <c r="G120" s="13"/>
      <c r="H120" s="13"/>
      <c r="I120" s="13"/>
      <c r="J120" s="13"/>
      <c r="K120" s="13"/>
      <c r="L120" s="5"/>
      <c r="M120" s="5"/>
      <c r="N120" s="5"/>
      <c r="P120" s="10"/>
      <c r="Q120" s="213"/>
      <c r="R120" s="213"/>
      <c r="AB120" s="10"/>
    </row>
    <row r="121" spans="1:31">
      <c r="A121" s="13"/>
      <c r="B121" s="13"/>
      <c r="C121" s="13"/>
      <c r="D121" s="13"/>
      <c r="E121" s="13"/>
      <c r="F121" s="13"/>
      <c r="G121" s="13"/>
      <c r="H121" s="13"/>
      <c r="I121" s="13"/>
      <c r="J121" s="13"/>
      <c r="K121" s="13"/>
      <c r="L121" s="5"/>
      <c r="M121" s="5"/>
      <c r="N121" s="5"/>
      <c r="P121" s="10"/>
      <c r="Q121" s="213"/>
      <c r="R121" s="213"/>
      <c r="AB121" s="10"/>
    </row>
    <row r="122" spans="1:31">
      <c r="A122" s="44"/>
      <c r="B122" s="44"/>
      <c r="C122" s="44"/>
      <c r="D122" s="44"/>
      <c r="E122" s="44"/>
      <c r="F122" s="44"/>
      <c r="G122" s="44"/>
      <c r="H122" s="44"/>
      <c r="I122" s="44"/>
      <c r="J122" s="44"/>
      <c r="K122" s="44"/>
      <c r="L122" s="28"/>
      <c r="M122" s="28"/>
      <c r="N122" s="28"/>
      <c r="O122" s="28"/>
      <c r="P122" s="40"/>
      <c r="Q122" s="30"/>
      <c r="R122" s="30"/>
      <c r="S122" s="30"/>
      <c r="T122" s="30"/>
      <c r="U122" s="30"/>
      <c r="V122" s="30"/>
      <c r="W122" s="30"/>
      <c r="X122" s="30"/>
      <c r="Y122" s="30"/>
      <c r="Z122" s="30"/>
      <c r="AA122" s="30"/>
      <c r="AB122" s="40"/>
      <c r="AC122" s="30"/>
      <c r="AD122" s="30"/>
      <c r="AE122" s="30"/>
    </row>
    <row r="123" spans="1:31">
      <c r="A123" s="13"/>
      <c r="B123" s="13"/>
      <c r="C123" s="13"/>
      <c r="D123" s="13"/>
      <c r="E123" s="13"/>
      <c r="F123" s="13"/>
      <c r="G123" s="13"/>
      <c r="H123" s="13"/>
      <c r="I123" s="13"/>
      <c r="J123" s="13"/>
      <c r="K123" s="13"/>
      <c r="L123" s="5"/>
      <c r="M123" s="5"/>
      <c r="N123" s="5"/>
      <c r="P123" s="10"/>
      <c r="AB123" s="10"/>
    </row>
    <row r="124" spans="1:31" ht="15" customHeight="1">
      <c r="A124" s="7" t="s">
        <v>76</v>
      </c>
      <c r="B124" s="13"/>
      <c r="C124" s="13"/>
      <c r="D124" s="13"/>
      <c r="E124" s="13"/>
      <c r="F124" s="13"/>
      <c r="G124" s="13"/>
      <c r="H124" s="13"/>
      <c r="I124" s="13"/>
      <c r="J124" s="13"/>
      <c r="K124" s="13"/>
      <c r="L124" s="189" t="s">
        <v>148</v>
      </c>
      <c r="M124" s="237" t="s">
        <v>155</v>
      </c>
      <c r="N124" s="238"/>
      <c r="P124" s="10"/>
      <c r="Q124" s="213" t="s">
        <v>288</v>
      </c>
      <c r="R124" s="213"/>
      <c r="AB124" s="10"/>
      <c r="AC124" s="4" t="s">
        <v>337</v>
      </c>
    </row>
    <row r="125" spans="1:31" ht="15" customHeight="1">
      <c r="A125" s="213" t="s">
        <v>78</v>
      </c>
      <c r="B125" s="213"/>
      <c r="C125" s="213"/>
      <c r="D125" s="213"/>
      <c r="E125" s="213"/>
      <c r="F125" s="213"/>
      <c r="G125" s="213"/>
      <c r="H125" s="213"/>
      <c r="I125" s="213"/>
      <c r="J125" s="213"/>
      <c r="K125" s="213"/>
      <c r="L125" s="5"/>
      <c r="M125" s="5"/>
      <c r="N125" s="5"/>
      <c r="P125" s="10"/>
      <c r="Q125" s="213"/>
      <c r="R125" s="213"/>
      <c r="AB125" s="10"/>
    </row>
    <row r="126" spans="1:31">
      <c r="A126" s="213"/>
      <c r="B126" s="213"/>
      <c r="C126" s="213"/>
      <c r="D126" s="213"/>
      <c r="E126" s="213"/>
      <c r="F126" s="213"/>
      <c r="G126" s="213"/>
      <c r="H126" s="213"/>
      <c r="I126" s="213"/>
      <c r="J126" s="213"/>
      <c r="K126" s="213"/>
      <c r="M126" s="5"/>
      <c r="N126" s="5"/>
      <c r="P126" s="10"/>
      <c r="Q126" s="213"/>
      <c r="R126" s="213"/>
      <c r="AB126" s="10"/>
    </row>
    <row r="127" spans="1:31">
      <c r="A127" s="213"/>
      <c r="B127" s="213"/>
      <c r="C127" s="213"/>
      <c r="D127" s="213"/>
      <c r="E127" s="213"/>
      <c r="F127" s="213"/>
      <c r="G127" s="213"/>
      <c r="H127" s="213"/>
      <c r="I127" s="213"/>
      <c r="J127" s="213"/>
      <c r="K127" s="213"/>
      <c r="L127" s="21"/>
      <c r="M127" s="5"/>
      <c r="N127" s="5"/>
      <c r="P127" s="10"/>
      <c r="Q127" s="213"/>
      <c r="R127" s="213"/>
      <c r="AB127" s="10"/>
    </row>
    <row r="128" spans="1:31">
      <c r="A128" s="213"/>
      <c r="B128" s="213"/>
      <c r="C128" s="213"/>
      <c r="D128" s="213"/>
      <c r="E128" s="213"/>
      <c r="F128" s="213"/>
      <c r="G128" s="213"/>
      <c r="H128" s="213"/>
      <c r="I128" s="213"/>
      <c r="J128" s="213"/>
      <c r="K128" s="213"/>
      <c r="L128" s="21"/>
      <c r="M128" s="5"/>
      <c r="N128" s="5"/>
      <c r="P128" s="10"/>
      <c r="Q128" s="213"/>
      <c r="R128" s="213"/>
      <c r="AB128" s="10"/>
    </row>
    <row r="129" spans="1:65">
      <c r="A129" s="9"/>
      <c r="B129" s="9"/>
      <c r="C129" s="9"/>
      <c r="D129" s="9"/>
      <c r="E129" s="9"/>
      <c r="F129" s="9"/>
      <c r="G129" s="9"/>
      <c r="H129" s="9"/>
      <c r="I129" s="9"/>
      <c r="J129" s="9"/>
      <c r="K129" s="9"/>
      <c r="L129" s="21"/>
      <c r="M129" s="5"/>
      <c r="N129" s="5"/>
      <c r="P129" s="10"/>
      <c r="Q129" s="213"/>
      <c r="R129" s="213"/>
      <c r="AB129" s="10"/>
    </row>
    <row r="130" spans="1:65">
      <c r="A130" s="9"/>
      <c r="B130" s="9"/>
      <c r="C130" s="9"/>
      <c r="D130" s="9"/>
      <c r="E130" s="9"/>
      <c r="F130" s="9"/>
      <c r="G130" s="9"/>
      <c r="H130" s="9"/>
      <c r="I130" s="9"/>
      <c r="J130" s="9"/>
      <c r="K130" s="9"/>
      <c r="L130" s="21"/>
      <c r="M130" s="5"/>
      <c r="N130" s="5"/>
      <c r="P130" s="10"/>
      <c r="Q130" s="213"/>
      <c r="R130" s="213"/>
      <c r="AB130" s="10"/>
    </row>
    <row r="131" spans="1:65">
      <c r="A131" s="9"/>
      <c r="B131" s="9"/>
      <c r="C131" s="9"/>
      <c r="D131" s="9"/>
      <c r="E131" s="9"/>
      <c r="F131" s="9"/>
      <c r="G131" s="9"/>
      <c r="H131" s="9"/>
      <c r="I131" s="9"/>
      <c r="J131" s="9"/>
      <c r="K131" s="9"/>
      <c r="L131" s="21"/>
      <c r="M131" s="5"/>
      <c r="N131" s="5"/>
      <c r="P131" s="10"/>
      <c r="Q131" s="213"/>
      <c r="R131" s="213"/>
      <c r="AB131" s="10"/>
    </row>
    <row r="132" spans="1:65">
      <c r="A132" s="9"/>
      <c r="B132" s="9"/>
      <c r="C132" s="9"/>
      <c r="D132" s="9"/>
      <c r="E132" s="9"/>
      <c r="F132" s="9"/>
      <c r="G132" s="9"/>
      <c r="H132" s="9"/>
      <c r="I132" s="9"/>
      <c r="J132" s="9"/>
      <c r="K132" s="9"/>
      <c r="L132" s="21"/>
      <c r="M132" s="5"/>
      <c r="N132" s="5"/>
      <c r="P132" s="10"/>
      <c r="Q132" s="213"/>
      <c r="R132" s="213"/>
      <c r="AB132" s="10"/>
    </row>
    <row r="133" spans="1:65">
      <c r="A133" s="9"/>
      <c r="B133" s="9"/>
      <c r="C133" s="9"/>
      <c r="D133" s="9"/>
      <c r="E133" s="9"/>
      <c r="F133" s="9"/>
      <c r="G133" s="9"/>
      <c r="H133" s="9"/>
      <c r="I133" s="9"/>
      <c r="J133" s="9"/>
      <c r="K133" s="9"/>
      <c r="L133" s="21"/>
      <c r="M133" s="5"/>
      <c r="N133" s="5"/>
      <c r="P133" s="10"/>
      <c r="Q133" s="213"/>
      <c r="R133" s="213"/>
      <c r="AB133" s="10"/>
    </row>
    <row r="134" spans="1:65">
      <c r="A134" s="41"/>
      <c r="B134" s="41"/>
      <c r="C134" s="41"/>
      <c r="D134" s="41"/>
      <c r="E134" s="41"/>
      <c r="F134" s="41"/>
      <c r="G134" s="41"/>
      <c r="H134" s="41"/>
      <c r="I134" s="41"/>
      <c r="J134" s="41"/>
      <c r="K134" s="41"/>
      <c r="L134" s="49"/>
      <c r="M134" s="28"/>
      <c r="N134" s="28"/>
      <c r="O134" s="28"/>
      <c r="P134" s="40"/>
      <c r="Q134" s="30"/>
      <c r="R134" s="30"/>
      <c r="S134" s="30"/>
      <c r="T134" s="30"/>
      <c r="U134" s="30"/>
      <c r="V134" s="30"/>
      <c r="W134" s="30"/>
      <c r="X134" s="30"/>
      <c r="Y134" s="30"/>
      <c r="Z134" s="30"/>
      <c r="AA134" s="30"/>
      <c r="AB134" s="40"/>
      <c r="AC134" s="30"/>
      <c r="AD134" s="30"/>
      <c r="AE134" s="30"/>
    </row>
    <row r="135" spans="1:65">
      <c r="A135" s="9"/>
      <c r="B135" s="9"/>
      <c r="C135" s="9"/>
      <c r="D135" s="9"/>
      <c r="E135" s="9"/>
      <c r="F135" s="9"/>
      <c r="G135" s="9"/>
      <c r="H135" s="9"/>
      <c r="I135" s="9"/>
      <c r="J135" s="9"/>
      <c r="K135" s="9"/>
      <c r="L135" s="140"/>
      <c r="M135" s="22"/>
      <c r="N135" s="22"/>
      <c r="O135" s="22"/>
    </row>
    <row r="136" spans="1:65" s="54" customFormat="1" ht="15.75">
      <c r="A136" s="50" t="s">
        <v>74</v>
      </c>
      <c r="B136" s="51"/>
      <c r="C136" s="51"/>
      <c r="D136" s="51"/>
      <c r="E136" s="51"/>
      <c r="F136" s="51"/>
      <c r="G136" s="51"/>
      <c r="H136" s="51"/>
      <c r="I136" s="51"/>
      <c r="J136" s="51"/>
      <c r="K136" s="51"/>
      <c r="L136" s="146"/>
      <c r="M136" s="94"/>
      <c r="N136" s="94"/>
      <c r="O136" s="57"/>
      <c r="P136" s="161"/>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row>
    <row r="137" spans="1:65" s="54" customFormat="1" ht="15.75">
      <c r="A137" s="55" t="s">
        <v>2</v>
      </c>
      <c r="B137" s="53"/>
      <c r="C137" s="53"/>
      <c r="D137" s="53"/>
      <c r="E137" s="53"/>
      <c r="F137" s="53"/>
      <c r="G137" s="53"/>
      <c r="H137" s="168" t="str">
        <f>IF(L137&lt;'Drop Down Options'!C86,'Drop Down Options'!D86,IF(L137&lt;='Drop Down Options'!C87,'Drop Down Options'!D87,IF(L137&lt;='Drop Down Options'!C88,'Drop Down Options'!D88,IF(L137&lt;='Drop Down Options'!C89,'Drop Down Options'!D89,'Drop Down Options'!D90))))</f>
        <v>LOW</v>
      </c>
      <c r="I137" s="53"/>
      <c r="J137" s="53"/>
      <c r="K137" s="53"/>
      <c r="L137" s="205">
        <f>MAX(M137:N137)</f>
        <v>8</v>
      </c>
      <c r="M137" s="57">
        <f>M20+(MAX(IFERROR(M35,0),IFERROR(M36,0),IFERROR(M37,0))+M47+M72+M85+M98+M111+MAX(M6,M59))</f>
        <v>7</v>
      </c>
      <c r="N137" s="57">
        <f>N20+(MAX(IFERROR(N35,0),IFERROR(N36,0),IFERROR(N37,0))+N47+N72+N85+N98+N111+MAX(N6,N59))</f>
        <v>8</v>
      </c>
      <c r="O137" s="57"/>
      <c r="P137" s="161"/>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row>
    <row r="138" spans="1:65" s="54" customFormat="1" ht="15.75">
      <c r="A138" s="55" t="s">
        <v>73</v>
      </c>
      <c r="B138" s="53"/>
      <c r="C138" s="53"/>
      <c r="D138" s="53"/>
      <c r="E138" s="53"/>
      <c r="F138" s="53"/>
      <c r="G138" s="53"/>
      <c r="H138" s="169" t="str">
        <f>VLOOKUP(H137,'Drop Down Options'!$D$86:$G$90,4,FALSE)</f>
        <v>unlikely given the baseline conditions observed over the restoration area</v>
      </c>
      <c r="I138" s="53"/>
      <c r="J138" s="53"/>
      <c r="K138" s="53"/>
      <c r="L138" s="141"/>
      <c r="M138" s="56"/>
      <c r="N138" s="57"/>
      <c r="O138" s="57"/>
      <c r="P138" s="161"/>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row>
    <row r="139" spans="1:65" s="54" customFormat="1" ht="15.75">
      <c r="A139" s="55" t="s">
        <v>4</v>
      </c>
      <c r="B139" s="53"/>
      <c r="C139" s="53"/>
      <c r="D139" s="53"/>
      <c r="E139" s="53"/>
      <c r="F139" s="53"/>
      <c r="G139" s="53"/>
      <c r="H139" s="170" t="str">
        <f>IF(M137&gt;=N137,VLOOKUP(H137,'Drop Down Options'!$D$86:$G$90,2,FALSE),VLOOKUP(H137,'Drop Down Options'!$D$86:$G$90,3,FALSE))</f>
        <v>MINOR INSTABILITY</v>
      </c>
      <c r="I139" s="53"/>
      <c r="J139" s="53"/>
      <c r="K139" s="53"/>
      <c r="L139" s="57"/>
      <c r="M139" s="57"/>
      <c r="N139" s="57"/>
      <c r="O139" s="57"/>
      <c r="P139" s="161"/>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row>
    <row r="140" spans="1:65" s="54" customFormat="1" ht="15.75">
      <c r="A140" s="53"/>
      <c r="B140" s="53"/>
      <c r="C140" s="53"/>
      <c r="D140" s="53"/>
      <c r="E140" s="53"/>
      <c r="F140" s="53"/>
      <c r="G140" s="53"/>
      <c r="H140" s="53"/>
      <c r="I140" s="53"/>
      <c r="J140" s="53"/>
      <c r="K140" s="53"/>
      <c r="L140" s="57"/>
      <c r="M140" s="57"/>
      <c r="N140" s="57"/>
      <c r="O140" s="57"/>
      <c r="P140" s="161"/>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row>
    <row r="141" spans="1:65" s="54" customFormat="1" ht="15.75">
      <c r="A141" s="12" t="s">
        <v>93</v>
      </c>
      <c r="B141" s="53"/>
      <c r="C141" s="53"/>
      <c r="D141" s="53"/>
      <c r="E141" s="53"/>
      <c r="F141" s="53"/>
      <c r="G141" s="53"/>
      <c r="H141" s="53"/>
      <c r="I141" s="53"/>
      <c r="J141" s="53"/>
      <c r="K141" s="53"/>
      <c r="L141" s="57"/>
      <c r="M141" s="52"/>
      <c r="N141" s="52"/>
      <c r="O141" s="52"/>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row>
    <row r="142" spans="1:65" s="53" customFormat="1" ht="15.75">
      <c r="A142" s="55" t="s">
        <v>77</v>
      </c>
      <c r="L142" s="171">
        <f>IF(OR(L85='Drop Down Options'!D66,L85='Drop Down Options'!D67)=TRUE,IF(ISERROR(L172),"Too few parameters to calculate",L172),IF(OR(L85='Drop Down Options'!D68,L85='Drop Down Options'!D69,L85='Drop Down Options'!D70)=TRUE,IF(ISERROR(L159),"Too few parameters to calculate",L159),"Too few parameters to calculate"))</f>
        <v>22.908577478454543</v>
      </c>
      <c r="M142" s="56"/>
      <c r="N142" s="52"/>
      <c r="O142" s="52"/>
    </row>
    <row r="143" spans="1:65" s="53" customFormat="1" ht="15.75">
      <c r="A143" s="94"/>
      <c r="M143" s="52"/>
      <c r="N143" s="52"/>
      <c r="O143" s="52"/>
    </row>
    <row r="144" spans="1:65" s="4" customFormat="1" hidden="1">
      <c r="A144" s="6"/>
      <c r="L144" s="5"/>
      <c r="M144" s="5"/>
      <c r="N144" s="5"/>
      <c r="O144" s="5"/>
    </row>
    <row r="145" spans="4:15" s="4" customFormat="1" ht="15" hidden="1" customHeight="1">
      <c r="D145" s="23" t="s">
        <v>238</v>
      </c>
      <c r="F145" s="231" t="s">
        <v>206</v>
      </c>
      <c r="G145" s="232"/>
      <c r="H145" s="232"/>
      <c r="I145" s="233"/>
      <c r="J145" s="59" t="s">
        <v>207</v>
      </c>
      <c r="K145" s="59" t="s">
        <v>208</v>
      </c>
      <c r="L145" s="59" t="s">
        <v>209</v>
      </c>
      <c r="M145" s="5"/>
      <c r="N145" s="5"/>
      <c r="O145" s="5"/>
    </row>
    <row r="146" spans="4:15" s="4" customFormat="1" ht="15" hidden="1" customHeight="1">
      <c r="D146" s="23" t="s">
        <v>238</v>
      </c>
      <c r="F146" s="228" t="s">
        <v>211</v>
      </c>
      <c r="G146" s="229"/>
      <c r="H146" s="229"/>
      <c r="I146" s="230"/>
      <c r="J146" s="65" t="s">
        <v>199</v>
      </c>
      <c r="K146" s="65" t="s">
        <v>200</v>
      </c>
      <c r="L146" s="65">
        <f>IF($L$124='Drop Down Options'!D98,'Drop Down Options'!E101,IF($L$124='Drop Down Options'!F98,'Drop Down Options'!G101,IF($L$124='Drop Down Options'!H98,'Drop Down Options'!I101,"")))</f>
        <v>5</v>
      </c>
      <c r="M146" s="5"/>
    </row>
    <row r="147" spans="4:15" s="4" customFormat="1" ht="15" hidden="1" customHeight="1">
      <c r="D147" s="23" t="s">
        <v>238</v>
      </c>
      <c r="F147" s="228" t="s">
        <v>212</v>
      </c>
      <c r="G147" s="229"/>
      <c r="H147" s="229"/>
      <c r="I147" s="230"/>
      <c r="J147" s="66" t="s">
        <v>201</v>
      </c>
      <c r="K147" s="65" t="s">
        <v>202</v>
      </c>
      <c r="L147" s="65">
        <f>IF($L$124='Drop Down Options'!D98,'Drop Down Options'!E102,IF($L$124='Drop Down Options'!F98,'Drop Down Options'!H102,'Drop Down Options'!I102))</f>
        <v>35</v>
      </c>
      <c r="M147" s="5"/>
    </row>
    <row r="148" spans="4:15" s="4" customFormat="1" ht="15" hidden="1" customHeight="1">
      <c r="D148" s="23" t="s">
        <v>238</v>
      </c>
      <c r="F148" s="228" t="s">
        <v>213</v>
      </c>
      <c r="G148" s="229"/>
      <c r="H148" s="229"/>
      <c r="I148" s="230"/>
      <c r="J148" s="66" t="s">
        <v>203</v>
      </c>
      <c r="K148" s="65" t="s">
        <v>204</v>
      </c>
      <c r="L148" s="65">
        <f>IF($L$124='Drop Down Options'!D98,'Drop Down Options'!E103,IF($L$124='Drop Down Options'!F98,'Drop Down Options'!G103,'Drop Down Options'!I103))</f>
        <v>10.5</v>
      </c>
      <c r="M148" s="5"/>
    </row>
    <row r="149" spans="4:15" s="4" customFormat="1" ht="15" hidden="1" customHeight="1">
      <c r="D149" s="23" t="s">
        <v>238</v>
      </c>
      <c r="F149" s="228" t="s">
        <v>214</v>
      </c>
      <c r="G149" s="229"/>
      <c r="H149" s="229"/>
      <c r="I149" s="230"/>
      <c r="J149" s="66" t="s">
        <v>215</v>
      </c>
      <c r="K149" s="65" t="s">
        <v>204</v>
      </c>
      <c r="L149" s="65">
        <f>L148-L150</f>
        <v>0.6899999999999995</v>
      </c>
      <c r="M149" s="5"/>
    </row>
    <row r="150" spans="4:15" s="4" customFormat="1" ht="15" hidden="1" customHeight="1">
      <c r="D150" s="23" t="s">
        <v>238</v>
      </c>
      <c r="F150" s="228" t="s">
        <v>216</v>
      </c>
      <c r="G150" s="229"/>
      <c r="H150" s="229"/>
      <c r="I150" s="230"/>
      <c r="J150" s="66" t="s">
        <v>217</v>
      </c>
      <c r="K150" s="65" t="s">
        <v>204</v>
      </c>
      <c r="L150" s="65">
        <v>9.81</v>
      </c>
      <c r="M150" s="5"/>
      <c r="N150" s="5"/>
      <c r="O150" s="5"/>
    </row>
    <row r="151" spans="4:15" s="4" customFormat="1" ht="15" hidden="1" customHeight="1">
      <c r="D151" s="23" t="s">
        <v>238</v>
      </c>
      <c r="F151" s="228" t="s">
        <v>218</v>
      </c>
      <c r="G151" s="229"/>
      <c r="H151" s="229"/>
      <c r="I151" s="230"/>
      <c r="J151" s="65" t="s">
        <v>219</v>
      </c>
      <c r="K151" s="65" t="s">
        <v>220</v>
      </c>
      <c r="L151" s="65">
        <v>1</v>
      </c>
      <c r="M151" s="5"/>
      <c r="N151" s="5"/>
      <c r="O151" s="5"/>
    </row>
    <row r="152" spans="4:15" s="4" customFormat="1" ht="15" hidden="1" customHeight="1">
      <c r="D152" s="23" t="s">
        <v>238</v>
      </c>
      <c r="F152" s="228" t="s">
        <v>221</v>
      </c>
      <c r="G152" s="229"/>
      <c r="H152" s="229"/>
      <c r="I152" s="230"/>
      <c r="J152" s="65" t="s">
        <v>222</v>
      </c>
      <c r="K152" s="65" t="s">
        <v>220</v>
      </c>
      <c r="L152" s="65">
        <v>500</v>
      </c>
      <c r="M152" s="5"/>
      <c r="N152" s="5"/>
      <c r="O152" s="5"/>
    </row>
    <row r="153" spans="4:15" s="4" customFormat="1" ht="15" hidden="1" customHeight="1">
      <c r="D153" s="23" t="s">
        <v>238</v>
      </c>
      <c r="F153" s="228" t="s">
        <v>223</v>
      </c>
      <c r="G153" s="229"/>
      <c r="H153" s="229"/>
      <c r="I153" s="230"/>
      <c r="J153" s="65" t="s">
        <v>224</v>
      </c>
      <c r="K153" s="65" t="s">
        <v>220</v>
      </c>
      <c r="L153" s="65">
        <v>100</v>
      </c>
      <c r="M153" s="5"/>
      <c r="N153" s="5"/>
      <c r="O153" s="5"/>
    </row>
    <row r="154" spans="4:15" s="4" customFormat="1" hidden="1">
      <c r="D154" s="23" t="s">
        <v>238</v>
      </c>
      <c r="F154" s="215" t="s">
        <v>225</v>
      </c>
      <c r="G154" s="215"/>
      <c r="H154" s="215"/>
      <c r="I154" s="215"/>
      <c r="J154" s="58" t="s">
        <v>226</v>
      </c>
      <c r="K154" s="58" t="s">
        <v>220</v>
      </c>
      <c r="L154" s="58">
        <f>VLOOKUP(L20,'Drop Down Options'!D21:G40,4,TRUE)</f>
        <v>0.5</v>
      </c>
      <c r="M154" s="5"/>
      <c r="N154" s="5"/>
      <c r="O154" s="5"/>
    </row>
    <row r="155" spans="4:15" s="4" customFormat="1" hidden="1">
      <c r="D155" s="23" t="s">
        <v>238</v>
      </c>
      <c r="F155" s="225" t="s">
        <v>231</v>
      </c>
      <c r="G155" s="226"/>
      <c r="H155" s="226"/>
      <c r="I155" s="227"/>
      <c r="J155" s="68" t="s">
        <v>230</v>
      </c>
      <c r="K155" s="58" t="s">
        <v>202</v>
      </c>
      <c r="L155" s="58">
        <f>VLOOKUP(L35,'Drop Down Options'!$D$12:$J$18,7,FALSE)</f>
        <v>2.5</v>
      </c>
      <c r="M155" s="5"/>
      <c r="N155" s="5"/>
      <c r="O155" s="5"/>
    </row>
    <row r="156" spans="4:15" s="4" customFormat="1" hidden="1">
      <c r="D156" s="23" t="s">
        <v>238</v>
      </c>
      <c r="F156" s="215" t="s">
        <v>232</v>
      </c>
      <c r="G156" s="215"/>
      <c r="H156" s="215"/>
      <c r="I156" s="215"/>
      <c r="J156" s="58" t="s">
        <v>234</v>
      </c>
      <c r="K156" s="58" t="s">
        <v>202</v>
      </c>
      <c r="L156" s="58" t="e">
        <f>VLOOKUP(L36,'Drop Down Options'!$G$12:$J$18,4,FALSE)</f>
        <v>#N/A</v>
      </c>
      <c r="M156" s="5"/>
      <c r="N156" s="5"/>
      <c r="O156" s="5"/>
    </row>
    <row r="157" spans="4:15" s="4" customFormat="1" hidden="1">
      <c r="D157" s="23" t="s">
        <v>238</v>
      </c>
      <c r="F157" s="215" t="s">
        <v>233</v>
      </c>
      <c r="G157" s="215"/>
      <c r="H157" s="215"/>
      <c r="I157" s="215"/>
      <c r="J157" s="58" t="s">
        <v>235</v>
      </c>
      <c r="K157" s="58" t="s">
        <v>202</v>
      </c>
      <c r="L157" s="58" t="e">
        <f>IF(100*$L$37/$L$38&lt;='Drop Down Options'!$F$12,'Drop Down Options'!J12,IF(100*$L$37/$L$38&lt;='Drop Down Options'!$F$13,'Drop Down Options'!J13,IF(100*$L$37/$L$38&lt;='Drop Down Options'!$F$14,'Drop Down Options'!J14,IF(100*$L$37/$L$38&lt;='Drop Down Options'!$F$15,'Drop Down Options'!J15,IF(100*$L$37/$L$38&lt;='Drop Down Options'!$F$16,'Drop Down Options'!J16,IF(100*$L$37/$L$38&lt;='Drop Down Options'!$F$17,'Drop Down Options'!J17,'Drop Down Options'!J18))))))</f>
        <v>#DIV/0!</v>
      </c>
      <c r="M157" s="5"/>
      <c r="N157" s="5"/>
      <c r="O157" s="5"/>
    </row>
    <row r="158" spans="4:15" s="4" customFormat="1" hidden="1">
      <c r="D158" s="23" t="s">
        <v>238</v>
      </c>
      <c r="F158" s="69" t="s">
        <v>236</v>
      </c>
      <c r="G158" s="70"/>
      <c r="H158" s="70"/>
      <c r="I158" s="71"/>
      <c r="J158" s="68" t="s">
        <v>237</v>
      </c>
      <c r="K158" s="58" t="s">
        <v>202</v>
      </c>
      <c r="L158" s="58">
        <f>MAX(IFERROR(L155,0),IFERROR(L156,0),IFERROR(L157,0))</f>
        <v>2.5</v>
      </c>
      <c r="M158" s="5"/>
      <c r="N158" s="5"/>
      <c r="O158" s="5"/>
    </row>
    <row r="159" spans="4:15" s="4" customFormat="1" hidden="1">
      <c r="D159" s="23" t="s">
        <v>238</v>
      </c>
      <c r="F159" s="215" t="s">
        <v>239</v>
      </c>
      <c r="G159" s="215"/>
      <c r="H159" s="215"/>
      <c r="I159" s="215"/>
      <c r="J159" s="58" t="s">
        <v>240</v>
      </c>
      <c r="K159" s="58" t="s">
        <v>210</v>
      </c>
      <c r="L159" s="72">
        <f>((L146+(L148-L151*L150)*L154*COS(RADIANS(L158))*COS(RADIANS(L158))*TAN(RADIANS(L147)))*L152*L153)/(L148*L154*SIN(RADIANS(L158))*COS(RADIANS(L158))*L152*L153)</f>
        <v>22.908577478454543</v>
      </c>
      <c r="M159" s="5"/>
      <c r="N159" s="5"/>
      <c r="O159" s="5"/>
    </row>
    <row r="160" spans="4:15" s="4" customFormat="1" hidden="1">
      <c r="D160" s="23" t="s">
        <v>238</v>
      </c>
      <c r="L160" s="5"/>
      <c r="M160" s="5"/>
      <c r="N160" s="5"/>
      <c r="O160" s="5"/>
    </row>
    <row r="161" spans="4:15" s="4" customFormat="1" hidden="1">
      <c r="D161" s="23" t="s">
        <v>238</v>
      </c>
      <c r="L161" s="5"/>
      <c r="M161" s="5"/>
      <c r="N161" s="5"/>
      <c r="O161" s="5"/>
    </row>
    <row r="162" spans="4:15" s="4" customFormat="1" hidden="1">
      <c r="D162" s="23" t="s">
        <v>238</v>
      </c>
      <c r="F162" s="216" t="s">
        <v>243</v>
      </c>
      <c r="G162" s="217"/>
      <c r="H162" s="217"/>
      <c r="I162" s="218"/>
      <c r="J162" s="61" t="s">
        <v>244</v>
      </c>
      <c r="K162" s="61" t="s">
        <v>220</v>
      </c>
      <c r="L162" s="61">
        <v>0.5</v>
      </c>
      <c r="M162" s="5"/>
      <c r="N162" s="5"/>
      <c r="O162" s="5"/>
    </row>
    <row r="163" spans="4:15" s="4" customFormat="1" hidden="1">
      <c r="D163" s="23" t="s">
        <v>238</v>
      </c>
      <c r="F163" s="216" t="s">
        <v>245</v>
      </c>
      <c r="G163" s="217"/>
      <c r="H163" s="217"/>
      <c r="I163" s="218"/>
      <c r="J163" s="61" t="s">
        <v>246</v>
      </c>
      <c r="K163" s="61" t="s">
        <v>220</v>
      </c>
      <c r="L163" s="61">
        <v>0.5</v>
      </c>
      <c r="M163" s="5"/>
      <c r="N163" s="5"/>
      <c r="O163" s="5"/>
    </row>
    <row r="164" spans="4:15" s="4" customFormat="1" hidden="1">
      <c r="D164" s="23" t="s">
        <v>238</v>
      </c>
      <c r="F164" s="222" t="s">
        <v>247</v>
      </c>
      <c r="G164" s="223"/>
      <c r="H164" s="223"/>
      <c r="I164" s="224"/>
      <c r="J164" s="63" t="s">
        <v>248</v>
      </c>
      <c r="K164" s="63" t="s">
        <v>220</v>
      </c>
      <c r="L164" s="63">
        <f>L163+L162</f>
        <v>1</v>
      </c>
      <c r="M164" s="5"/>
      <c r="N164" s="5"/>
      <c r="O164" s="5"/>
    </row>
    <row r="165" spans="4:15" s="4" customFormat="1" hidden="1">
      <c r="D165" s="23" t="s">
        <v>238</v>
      </c>
      <c r="F165" s="216" t="s">
        <v>249</v>
      </c>
      <c r="G165" s="217"/>
      <c r="H165" s="217"/>
      <c r="I165" s="218"/>
      <c r="J165" s="61" t="s">
        <v>250</v>
      </c>
      <c r="K165" s="61" t="s">
        <v>251</v>
      </c>
      <c r="L165" s="74">
        <f>4/9</f>
        <v>0.44444444444444442</v>
      </c>
      <c r="M165" s="5"/>
      <c r="N165" s="5"/>
      <c r="O165" s="5"/>
    </row>
    <row r="166" spans="4:15" s="4" customFormat="1" hidden="1">
      <c r="D166" s="23" t="s">
        <v>238</v>
      </c>
      <c r="F166" s="216" t="s">
        <v>252</v>
      </c>
      <c r="G166" s="217"/>
      <c r="H166" s="217"/>
      <c r="I166" s="218"/>
      <c r="J166" s="61" t="s">
        <v>253</v>
      </c>
      <c r="K166" s="61" t="s">
        <v>220</v>
      </c>
      <c r="L166" s="61">
        <v>15</v>
      </c>
      <c r="M166" s="5"/>
      <c r="N166" s="5"/>
      <c r="O166" s="5"/>
    </row>
    <row r="167" spans="4:15" s="4" customFormat="1" hidden="1">
      <c r="D167" s="23" t="s">
        <v>238</v>
      </c>
      <c r="F167" s="216" t="s">
        <v>254</v>
      </c>
      <c r="G167" s="217"/>
      <c r="H167" s="217"/>
      <c r="I167" s="218"/>
      <c r="J167" s="64" t="s">
        <v>255</v>
      </c>
      <c r="K167" s="61" t="s">
        <v>220</v>
      </c>
      <c r="L167" s="61">
        <v>0.2</v>
      </c>
      <c r="M167" s="5"/>
      <c r="N167" s="5"/>
      <c r="O167" s="5"/>
    </row>
    <row r="168" spans="4:15" s="4" customFormat="1" hidden="1">
      <c r="D168" s="23" t="s">
        <v>238</v>
      </c>
      <c r="F168" s="216" t="s">
        <v>256</v>
      </c>
      <c r="G168" s="217"/>
      <c r="H168" s="217"/>
      <c r="I168" s="218"/>
      <c r="J168" s="64" t="s">
        <v>257</v>
      </c>
      <c r="K168" s="61" t="s">
        <v>204</v>
      </c>
      <c r="L168" s="74">
        <f>0.35*9.81</f>
        <v>3.4335</v>
      </c>
      <c r="M168" s="5"/>
      <c r="N168" s="5"/>
      <c r="O168" s="5"/>
    </row>
    <row r="169" spans="4:15" s="4" customFormat="1" hidden="1">
      <c r="D169" s="23" t="s">
        <v>238</v>
      </c>
      <c r="F169" s="216" t="s">
        <v>258</v>
      </c>
      <c r="G169" s="217"/>
      <c r="H169" s="217"/>
      <c r="I169" s="218"/>
      <c r="J169" s="61" t="s">
        <v>259</v>
      </c>
      <c r="K169" s="61" t="s">
        <v>210</v>
      </c>
      <c r="L169" s="61">
        <v>0.5</v>
      </c>
      <c r="M169" s="5"/>
      <c r="N169" s="5"/>
      <c r="O169" s="5"/>
    </row>
    <row r="170" spans="4:15" s="4" customFormat="1" hidden="1">
      <c r="D170" s="23" t="s">
        <v>238</v>
      </c>
      <c r="F170" s="219" t="s">
        <v>260</v>
      </c>
      <c r="G170" s="220"/>
      <c r="H170" s="220"/>
      <c r="I170" s="221"/>
      <c r="J170" s="76" t="s">
        <v>261</v>
      </c>
      <c r="K170" s="76" t="s">
        <v>262</v>
      </c>
      <c r="L170" s="77">
        <f>L168*L166*PI()*(L167/2)^2*(1+L169)</f>
        <v>2.4269981346226253</v>
      </c>
      <c r="M170" s="5"/>
      <c r="N170" s="5"/>
      <c r="O170" s="5"/>
    </row>
    <row r="171" spans="4:15" s="4" customFormat="1" hidden="1">
      <c r="D171" s="23" t="s">
        <v>238</v>
      </c>
      <c r="F171" s="219" t="s">
        <v>263</v>
      </c>
      <c r="G171" s="220"/>
      <c r="H171" s="220"/>
      <c r="I171" s="221"/>
      <c r="J171" s="76" t="s">
        <v>264</v>
      </c>
      <c r="K171" s="76" t="s">
        <v>200</v>
      </c>
      <c r="L171" s="77">
        <f>L170*L165</f>
        <v>1.0786658376100555</v>
      </c>
      <c r="M171" s="5"/>
      <c r="N171" s="5"/>
      <c r="O171" s="5"/>
    </row>
    <row r="172" spans="4:15" s="4" customFormat="1" hidden="1">
      <c r="D172" s="23" t="s">
        <v>238</v>
      </c>
      <c r="F172" s="215" t="s">
        <v>268</v>
      </c>
      <c r="G172" s="215"/>
      <c r="H172" s="215"/>
      <c r="I172" s="215"/>
      <c r="J172" s="58" t="s">
        <v>240</v>
      </c>
      <c r="K172" s="58" t="s">
        <v>210</v>
      </c>
      <c r="L172" s="72">
        <f>IF(L154&lt;L164,((L146+L148*L154*COS(RADIANS(L158))*COS(RADIANS(L158))*TAN(RADIANS(L147)))*L152*L153)/((L148*L154*SIN(RADIANS(L158))*COS(RADIANS(L158))+L171)*L152*L153),((L146+(L148*L154-L151*L150*L154+L164*L150)*COS(RADIANS(L158))*COS(RADIANS(L158))*TAN(RADIANS(L147)))*L152*L153)/((L148*L154*SIN(RADIANS(L158))*COS(RADIANS(L158))+L171)*L152*L153))</f>
        <v>6.6305384521359141</v>
      </c>
      <c r="M172" s="5"/>
      <c r="N172" s="5"/>
      <c r="O172" s="5"/>
    </row>
    <row r="173" spans="4:15" s="4" customFormat="1" hidden="1">
      <c r="L173" s="5"/>
      <c r="M173" s="5"/>
      <c r="N173" s="5"/>
      <c r="O173" s="5"/>
    </row>
    <row r="174" spans="4:15" s="4" customFormat="1" hidden="1">
      <c r="L174" s="5"/>
      <c r="M174" s="5"/>
      <c r="N174" s="5"/>
      <c r="O174" s="5"/>
    </row>
    <row r="175" spans="4:15" s="4" customFormat="1" hidden="1">
      <c r="L175" s="5"/>
      <c r="M175" s="5"/>
      <c r="N175" s="5"/>
      <c r="O175" s="5"/>
    </row>
    <row r="176" spans="4:15" s="4" customFormat="1" hidden="1">
      <c r="L176" s="5"/>
      <c r="M176" s="5"/>
      <c r="N176" s="5"/>
      <c r="O176" s="5"/>
    </row>
    <row r="177" spans="12:15" s="4" customFormat="1" hidden="1">
      <c r="L177" s="5"/>
      <c r="M177" s="5"/>
      <c r="N177" s="5"/>
      <c r="O177" s="5"/>
    </row>
    <row r="178" spans="12:15" s="4" customFormat="1" hidden="1">
      <c r="L178" s="5"/>
      <c r="M178" s="5"/>
      <c r="N178" s="5"/>
      <c r="O178" s="5"/>
    </row>
    <row r="179" spans="12:15" s="4" customFormat="1" hidden="1">
      <c r="L179" s="5"/>
      <c r="M179" s="5"/>
      <c r="N179" s="5"/>
      <c r="O179" s="5"/>
    </row>
    <row r="180" spans="12:15" s="4" customFormat="1" hidden="1">
      <c r="L180" s="5"/>
      <c r="M180" s="5"/>
      <c r="N180" s="5"/>
      <c r="O180" s="5"/>
    </row>
    <row r="181" spans="12:15" s="4" customFormat="1" hidden="1">
      <c r="L181" s="5"/>
      <c r="M181" s="5"/>
      <c r="N181" s="5"/>
      <c r="O181" s="5"/>
    </row>
    <row r="182" spans="12:15" s="4" customFormat="1" hidden="1">
      <c r="L182" s="5"/>
      <c r="M182" s="5"/>
      <c r="N182" s="5"/>
      <c r="O182" s="5"/>
    </row>
    <row r="183" spans="12:15" s="4" customFormat="1">
      <c r="L183" s="5"/>
      <c r="M183" s="5"/>
      <c r="N183" s="5"/>
      <c r="O183" s="5"/>
    </row>
    <row r="184" spans="12:15" s="4" customFormat="1">
      <c r="L184" s="5"/>
      <c r="M184" s="5"/>
      <c r="N184" s="5"/>
      <c r="O184" s="5"/>
    </row>
    <row r="185" spans="12:15" s="4" customFormat="1">
      <c r="L185" s="5"/>
      <c r="M185" s="5"/>
      <c r="N185" s="5"/>
      <c r="O185" s="5"/>
    </row>
    <row r="186" spans="12:15" s="4" customFormat="1">
      <c r="L186" s="5"/>
      <c r="M186" s="5"/>
      <c r="N186" s="5"/>
      <c r="O186" s="5"/>
    </row>
    <row r="187" spans="12:15" s="4" customFormat="1">
      <c r="L187" s="5"/>
      <c r="M187" s="5"/>
      <c r="N187" s="5"/>
      <c r="O187" s="5"/>
    </row>
    <row r="188" spans="12:15" s="4" customFormat="1">
      <c r="L188" s="5"/>
      <c r="M188" s="5"/>
      <c r="N188" s="5"/>
      <c r="O188" s="5"/>
    </row>
    <row r="189" spans="12:15" s="4" customFormat="1">
      <c r="L189" s="5"/>
      <c r="M189" s="5"/>
      <c r="N189" s="5"/>
      <c r="O189" s="5"/>
    </row>
    <row r="190" spans="12:15" s="4" customFormat="1">
      <c r="L190" s="5"/>
      <c r="M190" s="5"/>
      <c r="N190" s="5"/>
      <c r="O190" s="5"/>
    </row>
    <row r="191" spans="12:15" s="4" customFormat="1">
      <c r="L191" s="5"/>
      <c r="M191" s="5"/>
      <c r="N191" s="5"/>
      <c r="O191" s="5"/>
    </row>
    <row r="192" spans="12:15" s="4" customFormat="1">
      <c r="L192" s="5"/>
      <c r="M192" s="5"/>
      <c r="N192" s="5"/>
      <c r="O192" s="5"/>
    </row>
    <row r="193" spans="12:15" s="4" customFormat="1">
      <c r="L193" s="5"/>
      <c r="M193" s="5"/>
      <c r="N193" s="5"/>
      <c r="O193" s="5"/>
    </row>
    <row r="194" spans="12:15" s="4" customFormat="1">
      <c r="L194" s="5"/>
      <c r="M194" s="5"/>
      <c r="N194" s="5"/>
      <c r="O194" s="5"/>
    </row>
    <row r="195" spans="12:15" s="4" customFormat="1">
      <c r="L195" s="5"/>
      <c r="M195" s="5"/>
      <c r="N195" s="5"/>
      <c r="O195" s="5"/>
    </row>
    <row r="196" spans="12:15" s="4" customFormat="1">
      <c r="L196" s="5"/>
      <c r="M196" s="5"/>
      <c r="N196" s="5"/>
      <c r="O196" s="5"/>
    </row>
    <row r="197" spans="12:15" s="4" customFormat="1">
      <c r="L197" s="5"/>
      <c r="M197" s="5"/>
      <c r="N197" s="5"/>
      <c r="O197" s="5"/>
    </row>
    <row r="198" spans="12:15" s="4" customFormat="1">
      <c r="L198" s="5"/>
      <c r="M198" s="5"/>
      <c r="N198" s="5"/>
      <c r="O198" s="5"/>
    </row>
    <row r="199" spans="12:15" s="4" customFormat="1">
      <c r="L199" s="5"/>
      <c r="M199" s="5"/>
      <c r="N199" s="5"/>
      <c r="O199" s="5"/>
    </row>
    <row r="200" spans="12:15" s="4" customFormat="1">
      <c r="L200" s="5"/>
      <c r="M200" s="5"/>
      <c r="N200" s="5"/>
      <c r="O200" s="5"/>
    </row>
    <row r="201" spans="12:15" s="4" customFormat="1">
      <c r="L201" s="5"/>
      <c r="M201" s="5"/>
      <c r="N201" s="5"/>
      <c r="O201" s="5"/>
    </row>
    <row r="202" spans="12:15" s="4" customFormat="1">
      <c r="L202" s="5"/>
      <c r="M202" s="5"/>
      <c r="N202" s="5"/>
      <c r="O202" s="5"/>
    </row>
    <row r="203" spans="12:15" s="4" customFormat="1">
      <c r="L203" s="5"/>
      <c r="M203" s="5"/>
      <c r="N203" s="5"/>
      <c r="O203" s="5"/>
    </row>
    <row r="204" spans="12:15" s="4" customFormat="1">
      <c r="L204" s="5"/>
      <c r="M204" s="5"/>
      <c r="N204" s="5"/>
      <c r="O204" s="5"/>
    </row>
    <row r="205" spans="12:15" s="4" customFormat="1">
      <c r="L205" s="5"/>
      <c r="M205" s="5"/>
      <c r="N205" s="5"/>
      <c r="O205" s="5"/>
    </row>
  </sheetData>
  <sheetProtection algorithmName="SHA-512" hashValue="yXvIcp82m4/aQcwl63esbakCuS9PtD5ZSb5nGkPf+k1bK2BFU1vcTfI1ZbGPQQuhVLlQ+F3ip7XJUaz082GTcA==" saltValue="CtPSi22GDd9Si7t3mEvFmA==" spinCount="100000" sheet="1" objects="1" scenarios="1"/>
  <mergeCells count="61">
    <mergeCell ref="Q111:R121"/>
    <mergeCell ref="Q124:R133"/>
    <mergeCell ref="Q16:S17"/>
    <mergeCell ref="Q20:R24"/>
    <mergeCell ref="V20:W24"/>
    <mergeCell ref="Q33:R41"/>
    <mergeCell ref="V33:W41"/>
    <mergeCell ref="Q85:R91"/>
    <mergeCell ref="A112:K114"/>
    <mergeCell ref="A125:K128"/>
    <mergeCell ref="A7:K8"/>
    <mergeCell ref="M124:N124"/>
    <mergeCell ref="A99:K100"/>
    <mergeCell ref="L101:L104"/>
    <mergeCell ref="M3:N3"/>
    <mergeCell ref="A21:K23"/>
    <mergeCell ref="A60:K62"/>
    <mergeCell ref="A73:K75"/>
    <mergeCell ref="A86:K88"/>
    <mergeCell ref="L63:L65"/>
    <mergeCell ref="F151:I151"/>
    <mergeCell ref="F152:I152"/>
    <mergeCell ref="F153:I153"/>
    <mergeCell ref="F145:I145"/>
    <mergeCell ref="F146:I146"/>
    <mergeCell ref="F147:I147"/>
    <mergeCell ref="F148:I148"/>
    <mergeCell ref="F149:I149"/>
    <mergeCell ref="F150:I150"/>
    <mergeCell ref="F154:I154"/>
    <mergeCell ref="F155:I155"/>
    <mergeCell ref="F156:I156"/>
    <mergeCell ref="F157:I157"/>
    <mergeCell ref="F159:I159"/>
    <mergeCell ref="F162:I162"/>
    <mergeCell ref="F163:I163"/>
    <mergeCell ref="F164:I164"/>
    <mergeCell ref="F165:I165"/>
    <mergeCell ref="F166:I166"/>
    <mergeCell ref="F172:I172"/>
    <mergeCell ref="F167:I167"/>
    <mergeCell ref="F168:I168"/>
    <mergeCell ref="F169:I169"/>
    <mergeCell ref="F170:I170"/>
    <mergeCell ref="F171:I171"/>
    <mergeCell ref="AD48:AF48"/>
    <mergeCell ref="Q47:R54"/>
    <mergeCell ref="AC22:AE30"/>
    <mergeCell ref="AC102:AE105"/>
    <mergeCell ref="AC106:AE106"/>
    <mergeCell ref="Q98:S108"/>
    <mergeCell ref="AC50:AE52"/>
    <mergeCell ref="AC54:AE54"/>
    <mergeCell ref="AC55:AE55"/>
    <mergeCell ref="AC37:AE40"/>
    <mergeCell ref="AC41:AE41"/>
    <mergeCell ref="V47:W56"/>
    <mergeCell ref="Q59:R65"/>
    <mergeCell ref="Q72:R78"/>
    <mergeCell ref="Q79:R80"/>
    <mergeCell ref="V98:W106"/>
  </mergeCells>
  <conditionalFormatting sqref="H137">
    <cfRule type="cellIs" dxfId="57" priority="18" operator="equal">
      <formula>"VERY HIGH"</formula>
    </cfRule>
    <cfRule type="cellIs" dxfId="56" priority="19" operator="equal">
      <formula>"HIGH"</formula>
    </cfRule>
    <cfRule type="cellIs" dxfId="55" priority="20" operator="equal">
      <formula>"MODERATE"</formula>
    </cfRule>
    <cfRule type="cellIs" dxfId="54" priority="21" operator="equal">
      <formula>"LOW"</formula>
    </cfRule>
    <cfRule type="cellIs" dxfId="53" priority="22" operator="equal">
      <formula>"VERY LOW"</formula>
    </cfRule>
  </conditionalFormatting>
  <conditionalFormatting sqref="L63:L65">
    <cfRule type="expression" dxfId="52" priority="2">
      <formula>"L59=""Undulating peat among rock outcrops"""</formula>
    </cfRule>
  </conditionalFormatting>
  <conditionalFormatting sqref="L101">
    <cfRule type="expression" dxfId="51" priority="1">
      <formula>"L59=""Undulating peat among rock outcrops"""</formula>
    </cfRule>
  </conditionalFormatting>
  <conditionalFormatting sqref="L142">
    <cfRule type="cellIs" dxfId="50" priority="4" operator="greaterThan">
      <formula>2</formula>
    </cfRule>
    <cfRule type="cellIs" dxfId="49" priority="5" operator="between">
      <formula>1.4</formula>
      <formula>2</formula>
    </cfRule>
    <cfRule type="cellIs" dxfId="48" priority="6" operator="between">
      <formula>1</formula>
      <formula>1.4</formula>
    </cfRule>
    <cfRule type="cellIs" dxfId="47" priority="7" operator="lessThan">
      <formula>1</formula>
    </cfRule>
  </conditionalFormatting>
  <conditionalFormatting sqref="M35:N37">
    <cfRule type="expression" dxfId="46" priority="12">
      <formula>ISERROR(M35)=TRUE</formula>
    </cfRule>
  </conditionalFormatting>
  <hyperlinks>
    <hyperlink ref="A41" r:id="rId1" xr:uid="{00000000-0004-0000-0100-000000000000}"/>
    <hyperlink ref="A42" r:id="rId2" xr:uid="{00000000-0004-0000-0100-000001000000}"/>
    <hyperlink ref="A51" r:id="rId3" xr:uid="{00000000-0004-0000-0100-000002000000}"/>
    <hyperlink ref="AC41:AE41" r:id="rId4" display="GE / MM Guide" xr:uid="{00000000-0004-0000-0100-000003000000}"/>
    <hyperlink ref="AC106:AE106" r:id="rId5" display="GE / MM Guide" xr:uid="{00000000-0004-0000-0100-000004000000}"/>
  </hyperlinks>
  <pageMargins left="0.7" right="0.7" top="0.75" bottom="0.75" header="0.3" footer="0.3"/>
  <pageSetup paperSize="9" orientation="portrait" r:id="rId6"/>
  <ignoredErrors>
    <ignoredError sqref="M37:N37 L44 M36:N36" evalError="1"/>
  </ignoredErrors>
  <drawing r:id="rId7"/>
  <legacyDrawing r:id="rId8"/>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'Drop Down Options'!$D$58:$D$62</xm:f>
          </x14:formula1>
          <xm:sqref>L72</xm:sqref>
        </x14:dataValidation>
        <x14:dataValidation type="list" allowBlank="1" showInputMessage="1" showErrorMessage="1" xr:uid="{00000000-0002-0000-0100-000001000000}">
          <x14:formula1>
            <xm:f>'Drop Down Options'!$D$66:$D$70</xm:f>
          </x14:formula1>
          <xm:sqref>L85</xm:sqref>
        </x14:dataValidation>
        <x14:dataValidation type="list" allowBlank="1" showInputMessage="1" showErrorMessage="1" xr:uid="{00000000-0002-0000-0100-000002000000}">
          <x14:formula1>
            <xm:f>'Drop Down Options'!$D$79:$D$82</xm:f>
          </x14:formula1>
          <xm:sqref>L111</xm:sqref>
        </x14:dataValidation>
        <x14:dataValidation type="list" allowBlank="1" showInputMessage="1" showErrorMessage="1" xr:uid="{00000000-0002-0000-0100-000003000000}">
          <x14:formula1>
            <xm:f>'Drop Down Options'!$D$21:$D$40</xm:f>
          </x14:formula1>
          <xm:sqref>L20</xm:sqref>
        </x14:dataValidation>
        <x14:dataValidation type="list" allowBlank="1" showInputMessage="1" showErrorMessage="1" xr:uid="{00000000-0002-0000-0100-000004000000}">
          <x14:formula1>
            <xm:f>'Drop Down Options'!$D$12:$D$18</xm:f>
          </x14:formula1>
          <xm:sqref>L35</xm:sqref>
        </x14:dataValidation>
        <x14:dataValidation type="list" allowBlank="1" showInputMessage="1" showErrorMessage="1" xr:uid="{00000000-0002-0000-0100-000005000000}">
          <x14:formula1>
            <xm:f>'Drop Down Options'!$D$92:$D$94</xm:f>
          </x14:formula1>
          <xm:sqref>L124</xm:sqref>
        </x14:dataValidation>
        <x14:dataValidation type="list" allowBlank="1" showInputMessage="1" showErrorMessage="1" xr:uid="{00000000-0002-0000-0100-000006000000}">
          <x14:formula1>
            <xm:f>'Drop Down Options'!$G$12:$G$18</xm:f>
          </x14:formula1>
          <xm:sqref>L36</xm:sqref>
        </x14:dataValidation>
        <x14:dataValidation type="list" allowBlank="1" showInputMessage="1" showErrorMessage="1" xr:uid="{00000000-0002-0000-0100-000007000000}">
          <x14:formula1>
            <xm:f>'Drop Down Options'!$D$7:$D$8</xm:f>
          </x14:formula1>
          <xm:sqref>L6</xm:sqref>
        </x14:dataValidation>
        <x14:dataValidation type="list" allowBlank="1" showInputMessage="1" showErrorMessage="1" xr:uid="{00000000-0002-0000-0100-000008000000}">
          <x14:formula1>
            <xm:f>'Drop Down Options'!$D$43:$D$46</xm:f>
          </x14:formula1>
          <xm:sqref>L47</xm:sqref>
        </x14:dataValidation>
        <x14:dataValidation type="list" allowBlank="1" showInputMessage="1" showErrorMessage="1" xr:uid="{00000000-0002-0000-0100-000009000000}">
          <x14:formula1>
            <xm:f>'Drop Down Options'!$D$73:$D$76</xm:f>
          </x14:formula1>
          <xm:sqref>L98</xm:sqref>
        </x14:dataValidation>
        <x14:dataValidation type="list" allowBlank="1" showInputMessage="1" showErrorMessage="1" xr:uid="{00000000-0002-0000-0100-00000A000000}">
          <x14:formula1>
            <xm:f>'Drop Down Options'!$D$49:$D$55</xm:f>
          </x14:formula1>
          <xm:sqref>K59:L59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337"/>
  <sheetViews>
    <sheetView workbookViewId="0">
      <selection activeCell="H20" sqref="H20"/>
    </sheetView>
  </sheetViews>
  <sheetFormatPr defaultRowHeight="15"/>
  <cols>
    <col min="1" max="1" width="45.7109375" bestFit="1" customWidth="1"/>
    <col min="2" max="2" width="11.28515625" customWidth="1"/>
    <col min="3" max="3" width="11.85546875" customWidth="1"/>
    <col min="4" max="4" width="1.85546875" style="4" customWidth="1"/>
    <col min="5" max="5" width="63.85546875" customWidth="1"/>
    <col min="6" max="6" width="15.140625" style="2" hidden="1" customWidth="1"/>
    <col min="7" max="7" width="9.140625" hidden="1" customWidth="1"/>
    <col min="10" max="36" width="9.140625" style="4"/>
  </cols>
  <sheetData>
    <row r="1" spans="1:16" ht="18.75">
      <c r="A1" s="3" t="s">
        <v>92</v>
      </c>
      <c r="B1" s="3"/>
      <c r="C1" s="4"/>
      <c r="E1" s="4"/>
      <c r="F1" s="5"/>
      <c r="G1" s="4"/>
      <c r="H1" s="4"/>
      <c r="I1" s="4"/>
    </row>
    <row r="2" spans="1:16" ht="18.75">
      <c r="A2" s="3"/>
      <c r="B2" s="3"/>
      <c r="C2" s="4"/>
      <c r="E2" s="4"/>
      <c r="F2" s="5"/>
      <c r="G2" s="4"/>
      <c r="H2" s="4"/>
      <c r="I2" s="4"/>
    </row>
    <row r="3" spans="1:16" hidden="1">
      <c r="A3" s="4"/>
      <c r="B3" s="4"/>
      <c r="C3" s="4"/>
      <c r="E3" s="4"/>
      <c r="F3" s="5"/>
      <c r="G3" s="4"/>
      <c r="H3" s="4"/>
      <c r="I3" s="4"/>
    </row>
    <row r="4" spans="1:16">
      <c r="A4" s="7" t="s">
        <v>24</v>
      </c>
      <c r="B4" s="7"/>
      <c r="C4" s="4"/>
      <c r="E4" s="4"/>
      <c r="F4" s="5"/>
      <c r="G4" s="4"/>
      <c r="H4" s="4"/>
      <c r="I4" s="4"/>
    </row>
    <row r="5" spans="1:16">
      <c r="A5" s="4" t="s">
        <v>79</v>
      </c>
      <c r="B5" s="4"/>
      <c r="C5" s="4"/>
      <c r="E5" s="4"/>
      <c r="F5" s="5"/>
      <c r="G5" s="4"/>
      <c r="H5" s="4"/>
      <c r="I5" s="4"/>
    </row>
    <row r="6" spans="1:16">
      <c r="A6" s="4"/>
      <c r="B6" s="4"/>
      <c r="C6" s="4"/>
      <c r="E6" s="4"/>
      <c r="F6" s="5"/>
      <c r="G6" s="4"/>
      <c r="H6" s="4"/>
      <c r="I6" s="4"/>
    </row>
    <row r="7" spans="1:16">
      <c r="A7" s="26" t="s">
        <v>124</v>
      </c>
      <c r="B7" s="27"/>
      <c r="C7" s="5"/>
      <c r="D7" s="28"/>
      <c r="E7" s="29" t="s">
        <v>88</v>
      </c>
      <c r="F7" s="48" t="s">
        <v>319</v>
      </c>
      <c r="G7" s="4"/>
      <c r="H7" s="142"/>
      <c r="I7" s="142"/>
      <c r="J7" s="142"/>
      <c r="K7" s="142"/>
      <c r="L7" s="142"/>
      <c r="M7" s="142"/>
      <c r="P7" s="142"/>
    </row>
    <row r="8" spans="1:16">
      <c r="A8" s="15" t="s">
        <v>439</v>
      </c>
      <c r="B8" s="4"/>
      <c r="C8" s="195"/>
      <c r="D8" s="5"/>
      <c r="E8" s="178" t="str">
        <f>IF(C8="","n/a",VLOOKUP('1. Pre-Restoration Likelihood'!$L$111,'Drop Down Options'!$J$21:$N$24,4,FALSE))</f>
        <v>n/a</v>
      </c>
      <c r="F8" s="5" t="str">
        <f>IF(C8="","",VLOOKUP('1. Pre-Restoration Likelihood'!$L$111,'Drop Down Options'!$J$21:$N$24,3,FALSE))</f>
        <v/>
      </c>
      <c r="H8" s="4"/>
      <c r="I8" s="4"/>
    </row>
    <row r="9" spans="1:16">
      <c r="A9" s="15" t="s">
        <v>440</v>
      </c>
      <c r="B9" s="4"/>
      <c r="C9" s="195"/>
      <c r="D9" s="5"/>
      <c r="E9" s="178" t="str">
        <f>IF(C9="","n/a",VLOOKUP('1. Pre-Restoration Likelihood'!$L$111,'Drop Down Options'!$J$26:$N$29,4,FALSE))</f>
        <v>n/a</v>
      </c>
      <c r="F9" s="5" t="str">
        <f>IF(C9="","",VLOOKUP('1. Pre-Restoration Likelihood'!$L$111,'Drop Down Options'!$J$26:$N$29,3,FALSE))</f>
        <v/>
      </c>
      <c r="G9" s="4"/>
      <c r="H9" s="23"/>
      <c r="I9" s="4"/>
    </row>
    <row r="10" spans="1:16">
      <c r="A10" s="15" t="s">
        <v>80</v>
      </c>
      <c r="B10" s="4"/>
      <c r="C10" s="195"/>
      <c r="D10" s="5"/>
      <c r="E10" s="178" t="str">
        <f>IF(C10="","n/a",VLOOKUP('1. Pre-Restoration Likelihood'!$L$111,'Drop Down Options'!$J$31:$N$34,4,FALSE))</f>
        <v>n/a</v>
      </c>
      <c r="F10" s="5" t="str">
        <f>IF(C10="","",VLOOKUP('1. Pre-Restoration Likelihood'!$L$111,'Drop Down Options'!$J$31:$N$34,3,FALSE))</f>
        <v/>
      </c>
      <c r="G10" s="4"/>
      <c r="H10" s="23"/>
      <c r="I10" s="4"/>
    </row>
    <row r="11" spans="1:16">
      <c r="A11" s="15" t="s">
        <v>450</v>
      </c>
      <c r="B11" s="4"/>
      <c r="C11" s="195"/>
      <c r="D11" s="5"/>
      <c r="E11" s="178" t="str">
        <f>IF(C11="","n/a",VLOOKUP('1. Pre-Restoration Likelihood'!$L$111,'Drop Down Options'!$J$36:$N$39,4,FALSE))</f>
        <v>n/a</v>
      </c>
      <c r="F11" s="5" t="str">
        <f>IF(C11="","",VLOOKUP('1. Pre-Restoration Likelihood'!$L$111,'Drop Down Options'!$J$36:$N$39,3,FALSE))</f>
        <v/>
      </c>
      <c r="G11" s="4"/>
      <c r="H11" s="23"/>
      <c r="I11" s="4"/>
    </row>
    <row r="12" spans="1:16">
      <c r="A12" s="15" t="s">
        <v>81</v>
      </c>
      <c r="B12" s="4"/>
      <c r="C12" s="195"/>
      <c r="D12" s="5"/>
      <c r="E12" s="178" t="str">
        <f>IF(C12="","n/a",VLOOKUP('1. Pre-Restoration Likelihood'!$L$111,'Drop Down Options'!$J$36:$N$39,4,FALSE))</f>
        <v>n/a</v>
      </c>
      <c r="F12" s="5" t="str">
        <f>IF(C12="","",VLOOKUP('1. Pre-Restoration Likelihood'!$L$111,'Drop Down Options'!$J$36:$N$39,3,FALSE))</f>
        <v/>
      </c>
      <c r="G12" s="4"/>
      <c r="H12" s="23"/>
      <c r="I12" s="4"/>
    </row>
    <row r="13" spans="1:16">
      <c r="A13" s="172" t="s">
        <v>441</v>
      </c>
      <c r="C13" s="195"/>
      <c r="D13" s="5"/>
      <c r="E13" s="178" t="str">
        <f>IF(C13="","n/a",VLOOKUP('1. Pre-Restoration Likelihood'!$L$111,'Drop Down Options'!$J$36:$N$39,4,FALSE))</f>
        <v>n/a</v>
      </c>
      <c r="F13" s="5"/>
      <c r="G13" s="4"/>
      <c r="H13" s="23"/>
      <c r="I13" s="4"/>
    </row>
    <row r="14" spans="1:16">
      <c r="A14" s="173"/>
      <c r="B14" s="6"/>
      <c r="C14" s="5"/>
      <c r="D14" s="5"/>
      <c r="E14" s="178"/>
      <c r="F14" s="5"/>
      <c r="G14" s="4"/>
      <c r="H14" s="23"/>
      <c r="I14" s="4"/>
    </row>
    <row r="15" spans="1:16">
      <c r="A15" s="15" t="s">
        <v>443</v>
      </c>
      <c r="B15" s="4"/>
      <c r="C15" s="196"/>
      <c r="D15" s="5"/>
      <c r="E15" s="178" t="str">
        <f>IF(C15="","n/a",VLOOKUP(C15,'Drop Down Options'!$K$41:$M$41,3,FALSE))</f>
        <v>n/a</v>
      </c>
      <c r="F15" s="5" t="str">
        <f>IF(C15="","",VLOOKUP(C15,'Drop Down Options'!$K$41:$M$41,2,FALSE))</f>
        <v/>
      </c>
      <c r="G15" s="4"/>
      <c r="H15" s="4"/>
      <c r="I15" s="4"/>
    </row>
    <row r="16" spans="1:16">
      <c r="A16" s="15" t="s">
        <v>442</v>
      </c>
      <c r="B16" s="4"/>
      <c r="C16" s="196"/>
      <c r="D16" s="5"/>
      <c r="E16" s="178" t="str">
        <f>IF($C16="","n/a",VLOOKUP($C16,'Drop Down Options'!$K$43:$M$43,3,FALSE))</f>
        <v>n/a</v>
      </c>
      <c r="F16" s="5" t="str">
        <f>IF($C16="","",VLOOKUP($C16,'Drop Down Options'!$K$43:$M$43,2,FALSE))</f>
        <v/>
      </c>
      <c r="G16" s="4"/>
      <c r="H16" s="4"/>
      <c r="I16" s="4"/>
    </row>
    <row r="17" spans="1:9">
      <c r="A17" s="173"/>
      <c r="B17" s="6"/>
      <c r="C17" s="2"/>
      <c r="D17" s="5"/>
      <c r="E17" s="178"/>
      <c r="F17" s="5"/>
      <c r="G17" s="4"/>
      <c r="H17" s="142"/>
      <c r="I17" s="4"/>
    </row>
    <row r="18" spans="1:9">
      <c r="A18" s="15" t="s">
        <v>83</v>
      </c>
      <c r="B18" s="4"/>
      <c r="C18" s="197"/>
      <c r="D18" s="5"/>
      <c r="E18" s="178" t="str">
        <f>IF($C18="","n/a",VLOOKUP($C18,'Drop Down Options'!$K$45:$M$45,3,FALSE))</f>
        <v>n/a</v>
      </c>
      <c r="F18" s="5" t="str">
        <f>IF($C18="","",VLOOKUP($C18,'Drop Down Options'!$K$45:$M$45,2,FALSE))</f>
        <v/>
      </c>
      <c r="G18" s="4"/>
      <c r="H18" s="4"/>
      <c r="I18" s="4"/>
    </row>
    <row r="19" spans="1:9">
      <c r="A19" s="15" t="s">
        <v>451</v>
      </c>
      <c r="B19" s="4"/>
      <c r="C19" s="197"/>
      <c r="D19" s="5"/>
      <c r="E19" s="178" t="str">
        <f>IF($C19="","n/a",VLOOKUP($C19,'Drop Down Options'!$K$47:$M$47,3,FALSE))</f>
        <v>n/a</v>
      </c>
      <c r="F19" s="5" t="str">
        <f>IF($C19="","",VLOOKUP($C19,'Drop Down Options'!$K$47:$M$47,2,FALSE))</f>
        <v/>
      </c>
      <c r="G19" s="4"/>
      <c r="H19" s="4"/>
      <c r="I19" s="4"/>
    </row>
    <row r="20" spans="1:9">
      <c r="A20" s="15"/>
      <c r="B20" s="4"/>
      <c r="C20" s="5"/>
      <c r="D20" s="5"/>
      <c r="E20" s="178"/>
      <c r="F20" s="5"/>
      <c r="G20" s="4"/>
      <c r="H20" s="4"/>
      <c r="I20" s="4"/>
    </row>
    <row r="21" spans="1:9">
      <c r="A21" s="15" t="s">
        <v>446</v>
      </c>
      <c r="B21" s="4"/>
      <c r="C21" s="198"/>
      <c r="D21" s="5"/>
      <c r="E21" s="178" t="str">
        <f>IF($C21="","n/a",VLOOKUP($C21,'Drop Down Options'!$K$49:$M$49,3,FALSE))</f>
        <v>n/a</v>
      </c>
      <c r="F21" s="5" t="str">
        <f>IF($C21="","",VLOOKUP($C21,'Drop Down Options'!$K$49:$M$49,2,FALSE))</f>
        <v/>
      </c>
      <c r="G21" s="4"/>
      <c r="H21" s="4"/>
      <c r="I21" s="4"/>
    </row>
    <row r="22" spans="1:9">
      <c r="A22" s="15" t="s">
        <v>444</v>
      </c>
      <c r="B22" s="4"/>
      <c r="C22" s="198"/>
      <c r="D22" s="5"/>
      <c r="E22" s="178" t="str">
        <f>IF($C22="","n/a",VLOOKUP($C22,'Drop Down Options'!$K$49:$M$49,3,FALSE))</f>
        <v>n/a</v>
      </c>
      <c r="F22" s="5" t="str">
        <f>IF($C22="","",VLOOKUP($C22,'Drop Down Options'!$K$49:$M$49,2,FALSE))</f>
        <v/>
      </c>
      <c r="G22" s="4"/>
      <c r="H22" s="4"/>
      <c r="I22" s="4"/>
    </row>
    <row r="23" spans="1:9">
      <c r="A23" s="15" t="s">
        <v>445</v>
      </c>
      <c r="B23" s="4"/>
      <c r="C23" s="198"/>
      <c r="D23" s="5"/>
      <c r="E23" s="178" t="str">
        <f>IF($C23="","n/a",VLOOKUP($C23,'Drop Down Options'!$K$49:$M$49,3,FALSE))</f>
        <v>n/a</v>
      </c>
      <c r="F23" s="5" t="str">
        <f>IF($C23="","",VLOOKUP($C23,'Drop Down Options'!$K$49:$M$49,2,FALSE))</f>
        <v/>
      </c>
      <c r="G23" s="4"/>
      <c r="H23" s="4"/>
      <c r="I23" s="4"/>
    </row>
    <row r="24" spans="1:9">
      <c r="A24" s="173"/>
      <c r="B24" s="6"/>
      <c r="C24" s="5"/>
      <c r="D24" s="5"/>
      <c r="E24" s="178"/>
      <c r="F24" s="5"/>
      <c r="G24" s="4"/>
      <c r="H24" s="4"/>
      <c r="I24" s="4"/>
    </row>
    <row r="25" spans="1:9">
      <c r="A25" s="15" t="s">
        <v>87</v>
      </c>
      <c r="B25" s="4"/>
      <c r="C25" s="199"/>
      <c r="D25" s="5"/>
      <c r="E25" s="178" t="str">
        <f>IF($C25="","n/a",VLOOKUP($C25,'Drop Down Options'!$K$51:$M$51,3,FALSE))</f>
        <v>n/a</v>
      </c>
      <c r="F25" s="5" t="str">
        <f>IF($C25="","",VLOOKUP($C25,'Drop Down Options'!$K$51:$M$51,2,FALSE))</f>
        <v/>
      </c>
      <c r="G25" s="4"/>
      <c r="H25" s="4"/>
      <c r="I25" s="4"/>
    </row>
    <row r="26" spans="1:9">
      <c r="A26" s="15"/>
      <c r="B26" s="4"/>
      <c r="C26" s="5"/>
      <c r="D26" s="5"/>
      <c r="E26" s="178"/>
      <c r="F26" s="5"/>
      <c r="G26" s="4"/>
      <c r="H26" s="4"/>
      <c r="I26" s="4"/>
    </row>
    <row r="27" spans="1:9">
      <c r="A27" s="174" t="s">
        <v>125</v>
      </c>
      <c r="B27" s="30"/>
      <c r="C27" s="5"/>
      <c r="D27" s="28"/>
      <c r="E27" s="179"/>
      <c r="F27" s="28"/>
      <c r="G27" s="4"/>
      <c r="H27" s="4"/>
      <c r="I27" s="4"/>
    </row>
    <row r="28" spans="1:9">
      <c r="A28" s="15" t="s">
        <v>452</v>
      </c>
      <c r="B28" s="4"/>
      <c r="C28" s="200"/>
      <c r="D28" s="5"/>
      <c r="E28" s="178" t="str">
        <f>IF($C28="","n/a",VLOOKUP($C28,'Drop Down Options'!$K$53:$M$53,3,FALSE))</f>
        <v>n/a</v>
      </c>
      <c r="F28" s="5" t="str">
        <f>IF($C28="","",VLOOKUP($C28,'Drop Down Options'!$K$53:$M$53,2,FALSE))</f>
        <v/>
      </c>
      <c r="G28" s="4"/>
      <c r="H28" s="23"/>
      <c r="I28" s="4"/>
    </row>
    <row r="29" spans="1:9">
      <c r="A29" s="15" t="s">
        <v>463</v>
      </c>
      <c r="B29" s="4"/>
      <c r="C29" s="200"/>
      <c r="D29" s="5"/>
      <c r="E29" s="178" t="str">
        <f>IF($C29="","n/a",VLOOKUP($C29,'Drop Down Options'!$K$55:$M$55,3,FALSE))</f>
        <v>n/a</v>
      </c>
      <c r="F29" s="5" t="str">
        <f>IF($C29="","",VLOOKUP($C29,'Drop Down Options'!$K$55:$M$55,2,FALSE))</f>
        <v/>
      </c>
      <c r="G29" s="4"/>
      <c r="H29" s="23"/>
      <c r="I29" s="4"/>
    </row>
    <row r="30" spans="1:9">
      <c r="A30" s="15" t="s">
        <v>86</v>
      </c>
      <c r="B30" s="4"/>
      <c r="C30" s="5"/>
      <c r="D30" s="5"/>
      <c r="E30" s="180"/>
      <c r="F30" s="5"/>
      <c r="G30" s="4"/>
      <c r="H30" s="23"/>
      <c r="I30" s="4"/>
    </row>
    <row r="31" spans="1:9">
      <c r="A31" s="175" t="s">
        <v>89</v>
      </c>
      <c r="B31" s="24"/>
      <c r="C31" s="200"/>
      <c r="D31" s="5"/>
      <c r="E31" s="178" t="str">
        <f>IF($C31="","n/a",VLOOKUP($C31,'Drop Down Options'!$K$57:$M$57,3,FALSE))</f>
        <v>n/a</v>
      </c>
      <c r="F31" s="5" t="str">
        <f>IF($C31="","",VLOOKUP($C31,'Drop Down Options'!$K$57:$M$57,2,FALSE))</f>
        <v/>
      </c>
      <c r="G31" s="4"/>
      <c r="H31" s="23"/>
      <c r="I31" s="4"/>
    </row>
    <row r="32" spans="1:9">
      <c r="A32" s="175" t="s">
        <v>122</v>
      </c>
      <c r="B32" s="24"/>
      <c r="C32" s="200"/>
      <c r="D32" s="5"/>
      <c r="E32" s="178" t="str">
        <f>IF($C32="","n/a",VLOOKUP($C32,'Drop Down Options'!$K$59:$M$59,3,FALSE))</f>
        <v>n/a</v>
      </c>
      <c r="F32" s="5" t="str">
        <f>IF($C32="","",VLOOKUP($C32,'Drop Down Options'!$K$59:$M$59,2,FALSE))</f>
        <v/>
      </c>
      <c r="G32" s="4"/>
      <c r="H32" s="23"/>
      <c r="I32" s="4"/>
    </row>
    <row r="33" spans="1:11">
      <c r="A33" s="175" t="s">
        <v>123</v>
      </c>
      <c r="B33" s="24"/>
      <c r="C33" s="200"/>
      <c r="D33" s="5"/>
      <c r="E33" s="178" t="str">
        <f>IF($C33="","n/a",VLOOKUP($C33,'Drop Down Options'!$K$61:$M$61,3,FALSE))</f>
        <v>n/a</v>
      </c>
      <c r="F33" s="5" t="str">
        <f>IF($C33="","",VLOOKUP($C33,'Drop Down Options'!$K$61:$M$61,2,FALSE))</f>
        <v/>
      </c>
      <c r="G33" s="4"/>
      <c r="H33" s="23"/>
      <c r="I33" s="4"/>
    </row>
    <row r="34" spans="1:11">
      <c r="A34" s="175"/>
      <c r="B34" s="24"/>
      <c r="C34" s="5"/>
      <c r="D34" s="5"/>
      <c r="E34" s="181"/>
      <c r="F34" s="5"/>
      <c r="G34" s="4"/>
      <c r="H34" s="23"/>
      <c r="I34" s="4"/>
    </row>
    <row r="35" spans="1:11">
      <c r="A35" s="15" t="s">
        <v>439</v>
      </c>
      <c r="B35" s="4"/>
      <c r="C35" s="195"/>
      <c r="D35" s="5"/>
      <c r="E35" s="178" t="str">
        <f>IF(C35="","n/a",VLOOKUP('1. Pre-Restoration Likelihood'!$L$111,'Drop Down Options'!$J$21:$N$24,4,FALSE))</f>
        <v>n/a</v>
      </c>
      <c r="F35" s="5" t="str">
        <f>IF(C35="","",VLOOKUP('1. Pre-Restoration Likelihood'!$L$111,'Drop Down Options'!$J$21:$N$24,3,FALSE))</f>
        <v/>
      </c>
      <c r="H35" s="4"/>
      <c r="I35" s="4"/>
    </row>
    <row r="36" spans="1:11">
      <c r="A36" s="15" t="s">
        <v>440</v>
      </c>
      <c r="B36" s="4"/>
      <c r="C36" s="195"/>
      <c r="D36" s="5"/>
      <c r="E36" s="178" t="str">
        <f>IF(C36="","n/a",VLOOKUP('1. Pre-Restoration Likelihood'!$L$111,'Drop Down Options'!$J$26:$N$29,4,FALSE))</f>
        <v>n/a</v>
      </c>
      <c r="F36" s="5" t="str">
        <f>IF(C36="","",VLOOKUP('1. Pre-Restoration Likelihood'!$L$111,'Drop Down Options'!$J$26:$N$29,3,FALSE))</f>
        <v/>
      </c>
      <c r="G36" s="4"/>
      <c r="H36" s="23"/>
      <c r="I36" s="4"/>
    </row>
    <row r="37" spans="1:11">
      <c r="A37" s="15" t="s">
        <v>80</v>
      </c>
      <c r="B37" s="4"/>
      <c r="C37" s="195"/>
      <c r="D37" s="5"/>
      <c r="E37" s="178" t="str">
        <f>IF(C37="","n/a",VLOOKUP('1. Pre-Restoration Likelihood'!$L$111,'Drop Down Options'!$J$31:$N$34,4,FALSE))</f>
        <v>n/a</v>
      </c>
      <c r="F37" s="5" t="str">
        <f>IF(C37="","",VLOOKUP('1. Pre-Restoration Likelihood'!$L$111,'Drop Down Options'!$J$31:$N$34,3,FALSE))</f>
        <v/>
      </c>
      <c r="G37" s="4"/>
      <c r="H37" s="23"/>
      <c r="I37" s="4"/>
    </row>
    <row r="38" spans="1:11">
      <c r="A38" s="15" t="s">
        <v>450</v>
      </c>
      <c r="B38" s="4"/>
      <c r="C38" s="195"/>
      <c r="D38" s="5"/>
      <c r="E38" s="178" t="str">
        <f>IF(C38="","n/a",VLOOKUP('1. Pre-Restoration Likelihood'!$L$111,'Drop Down Options'!$J$36:$N$39,4,FALSE))</f>
        <v>n/a</v>
      </c>
      <c r="F38" s="5" t="str">
        <f>IF(C38="","",VLOOKUP('1. Pre-Restoration Likelihood'!$L$111,'Drop Down Options'!$J$36:$N$39,3,FALSE))</f>
        <v/>
      </c>
      <c r="G38" s="4"/>
      <c r="H38" s="23"/>
      <c r="I38" s="4"/>
    </row>
    <row r="39" spans="1:11">
      <c r="A39" s="15" t="s">
        <v>453</v>
      </c>
      <c r="B39" s="4"/>
      <c r="C39" s="195"/>
      <c r="D39" s="5"/>
      <c r="E39" s="178" t="str">
        <f>IF(C39="","n/a",VLOOKUP('1. Pre-Restoration Likelihood'!$L$111,'Drop Down Options'!$J$36:$N$39,4,FALSE))</f>
        <v>n/a</v>
      </c>
      <c r="F39" s="5" t="str">
        <f>IF(C39="","",VLOOKUP('1. Pre-Restoration Likelihood'!$L$111,'Drop Down Options'!$J$36:$N$39,3,FALSE))</f>
        <v/>
      </c>
      <c r="G39" s="4"/>
      <c r="H39" s="23"/>
      <c r="I39" s="4"/>
    </row>
    <row r="40" spans="1:11" hidden="1">
      <c r="A40" s="175"/>
      <c r="B40" s="24"/>
      <c r="C40" s="25"/>
      <c r="D40" s="5"/>
      <c r="E40" s="163"/>
      <c r="F40" s="5"/>
      <c r="G40" s="204" t="s">
        <v>141</v>
      </c>
      <c r="H40" s="162"/>
      <c r="I40" s="162"/>
    </row>
    <row r="41" spans="1:11" hidden="1">
      <c r="A41" s="173"/>
      <c r="B41" s="6"/>
      <c r="C41" s="4"/>
      <c r="E41" s="162"/>
      <c r="F41" s="5">
        <f>(MAX(F15:F16))+(MIN(F18:F19))+(MAX(F21:F23))+(MAX(F25))</f>
        <v>0</v>
      </c>
      <c r="G41" s="4" t="s">
        <v>434</v>
      </c>
      <c r="H41" s="162"/>
      <c r="I41" s="162"/>
    </row>
    <row r="42" spans="1:11" hidden="1">
      <c r="A42" s="173"/>
      <c r="B42" s="6"/>
      <c r="C42" s="4"/>
      <c r="E42" s="162"/>
      <c r="F42" s="5">
        <f>MAX(F28)+MAX(F29)+(MIN(F31:F33))</f>
        <v>0</v>
      </c>
      <c r="G42" s="4" t="s">
        <v>435</v>
      </c>
      <c r="H42" s="162"/>
      <c r="I42" s="162"/>
    </row>
    <row r="43" spans="1:11" hidden="1">
      <c r="A43" s="6"/>
      <c r="B43" s="6"/>
      <c r="C43" s="4"/>
      <c r="E43" s="162"/>
      <c r="F43" s="2">
        <f>MAX(F8:F13,F35:F39)</f>
        <v>0</v>
      </c>
      <c r="G43" s="4" t="s">
        <v>436</v>
      </c>
      <c r="H43" s="162"/>
      <c r="I43" s="162"/>
      <c r="K43" s="142"/>
    </row>
    <row r="44" spans="1:11">
      <c r="A44" s="6"/>
      <c r="B44" s="6"/>
      <c r="C44" s="4"/>
      <c r="E44" s="162"/>
      <c r="F44" s="5">
        <f>'1. Pre-Restoration Likelihood'!L137+F41+F42+F43</f>
        <v>8</v>
      </c>
      <c r="G44" s="4" t="s">
        <v>91</v>
      </c>
      <c r="H44" s="162"/>
      <c r="I44" s="162"/>
    </row>
    <row r="45" spans="1:11">
      <c r="A45" s="19" t="s">
        <v>74</v>
      </c>
      <c r="B45" s="13"/>
      <c r="C45" s="13"/>
      <c r="D45" s="13"/>
      <c r="E45" s="164"/>
      <c r="F45" s="4"/>
      <c r="G45" s="162"/>
      <c r="H45" s="164"/>
      <c r="I45" s="164"/>
    </row>
    <row r="46" spans="1:11">
      <c r="A46" s="20" t="s">
        <v>90</v>
      </c>
      <c r="B46" s="4"/>
      <c r="C46" s="176" t="str">
        <f>IF(F44&lt;'Drop Down Options'!C86,'Drop Down Options'!D86,IF(F44&lt;='Drop Down Options'!C87,'Drop Down Options'!D87,IF(F44&lt;='Drop Down Options'!C88,'Drop Down Options'!D88,IF(F44&lt;='Drop Down Options'!C89,'Drop Down Options'!D89,'Drop Down Options'!D90))))</f>
        <v>LOW</v>
      </c>
      <c r="D46" s="18"/>
      <c r="E46" s="23"/>
      <c r="F46" s="4"/>
      <c r="G46" s="23"/>
      <c r="H46" s="4"/>
      <c r="I46" s="4"/>
    </row>
    <row r="47" spans="1:11">
      <c r="A47" s="20" t="s">
        <v>73</v>
      </c>
      <c r="B47" s="4"/>
      <c r="C47" s="177" t="str">
        <f>VLOOKUP(C46,'Drop Down Options'!H65:I69,2,FALSE)</f>
        <v>unlikely given the proposed restoration techniques</v>
      </c>
      <c r="D47" s="18"/>
      <c r="E47" s="4"/>
      <c r="F47" s="4"/>
      <c r="G47" s="23"/>
      <c r="H47" s="4"/>
      <c r="I47" s="4"/>
    </row>
    <row r="48" spans="1:11">
      <c r="A48" s="20"/>
      <c r="B48" s="4"/>
      <c r="C48" s="4"/>
      <c r="E48" s="4"/>
      <c r="F48" s="4"/>
      <c r="G48" s="23"/>
      <c r="H48" s="4"/>
      <c r="I48" s="6"/>
    </row>
    <row r="49" spans="1:9">
      <c r="A49" s="6" t="s">
        <v>75</v>
      </c>
      <c r="B49" s="4"/>
      <c r="C49" s="4"/>
      <c r="E49" s="4"/>
      <c r="F49" s="4"/>
      <c r="G49" s="23"/>
      <c r="H49" s="4"/>
      <c r="I49" s="4"/>
    </row>
    <row r="50" spans="1:9" ht="15.75">
      <c r="A50" s="20" t="s">
        <v>272</v>
      </c>
      <c r="B50" s="4"/>
      <c r="C50" s="4"/>
      <c r="E50" s="171">
        <f>IF(C28="",IF(OR(C18="YES",C19="YES",C29="YES"),F86,F71),IF(C29="YES",F87,F85))</f>
        <v>22.908577478454543</v>
      </c>
      <c r="F50" s="4"/>
      <c r="G50" s="23"/>
      <c r="H50" s="23"/>
      <c r="I50" s="4"/>
    </row>
    <row r="51" spans="1:9" ht="15.75">
      <c r="A51" s="20"/>
      <c r="B51" s="4"/>
      <c r="C51" s="4"/>
      <c r="E51" s="80"/>
      <c r="F51" s="4"/>
      <c r="G51" s="23"/>
      <c r="H51" s="23"/>
      <c r="I51" s="4"/>
    </row>
    <row r="52" spans="1:9" ht="15.75">
      <c r="A52" s="20" t="s">
        <v>465</v>
      </c>
      <c r="B52" s="4"/>
      <c r="C52" s="4"/>
      <c r="E52" s="80"/>
      <c r="F52" s="4"/>
      <c r="G52" s="23"/>
      <c r="H52" s="23"/>
      <c r="I52" s="4"/>
    </row>
    <row r="53" spans="1:9" ht="15.75">
      <c r="A53" s="20" t="s">
        <v>273</v>
      </c>
      <c r="B53" s="4"/>
      <c r="C53" s="4"/>
      <c r="E53" s="80"/>
      <c r="F53" s="4"/>
      <c r="G53" s="23"/>
      <c r="H53" s="23"/>
      <c r="I53" s="4"/>
    </row>
    <row r="54" spans="1:9" ht="15.75">
      <c r="A54" s="20" t="s">
        <v>464</v>
      </c>
      <c r="B54" s="4"/>
      <c r="C54" s="4"/>
      <c r="E54" s="80"/>
      <c r="F54" s="4"/>
      <c r="G54" s="4"/>
      <c r="H54" s="23"/>
      <c r="I54" s="4"/>
    </row>
    <row r="55" spans="1:9" ht="15.75">
      <c r="A55" s="4"/>
      <c r="B55" s="4"/>
      <c r="C55" s="4"/>
      <c r="E55" s="53"/>
      <c r="F55" s="5"/>
      <c r="G55" s="4"/>
      <c r="H55" s="23"/>
      <c r="I55" s="23"/>
    </row>
    <row r="56" spans="1:9" hidden="1">
      <c r="A56" s="79" t="s">
        <v>271</v>
      </c>
      <c r="B56" s="4"/>
      <c r="C56" s="4"/>
      <c r="E56" s="5"/>
      <c r="F56" s="5"/>
      <c r="G56" s="4"/>
      <c r="H56" s="23"/>
      <c r="I56" s="23"/>
    </row>
    <row r="57" spans="1:9" hidden="1">
      <c r="A57" s="67" t="s">
        <v>206</v>
      </c>
      <c r="B57" s="59" t="s">
        <v>207</v>
      </c>
      <c r="C57" s="59" t="s">
        <v>208</v>
      </c>
      <c r="E57" s="59" t="s">
        <v>209</v>
      </c>
      <c r="F57" s="5"/>
      <c r="G57" s="4"/>
      <c r="H57" s="23"/>
      <c r="I57" s="23"/>
    </row>
    <row r="58" spans="1:9" hidden="1">
      <c r="A58" s="67" t="s">
        <v>211</v>
      </c>
      <c r="B58" s="65" t="s">
        <v>199</v>
      </c>
      <c r="C58" s="65" t="s">
        <v>200</v>
      </c>
      <c r="E58" s="65">
        <f>'1. Pre-Restoration Likelihood'!L146</f>
        <v>5</v>
      </c>
      <c r="F58" s="5"/>
      <c r="G58" s="4"/>
      <c r="H58" s="23"/>
      <c r="I58" s="23"/>
    </row>
    <row r="59" spans="1:9" hidden="1">
      <c r="A59" s="73" t="s">
        <v>212</v>
      </c>
      <c r="B59" s="66" t="s">
        <v>201</v>
      </c>
      <c r="C59" s="65" t="s">
        <v>202</v>
      </c>
      <c r="E59" s="65">
        <f>'1. Pre-Restoration Likelihood'!L147</f>
        <v>35</v>
      </c>
      <c r="F59" s="5"/>
      <c r="G59" s="4"/>
      <c r="H59" s="4"/>
      <c r="I59" s="4"/>
    </row>
    <row r="60" spans="1:9" hidden="1">
      <c r="A60" s="73" t="s">
        <v>213</v>
      </c>
      <c r="B60" s="66" t="s">
        <v>203</v>
      </c>
      <c r="C60" s="65" t="s">
        <v>204</v>
      </c>
      <c r="E60" s="65">
        <f>'1. Pre-Restoration Likelihood'!L148</f>
        <v>10.5</v>
      </c>
      <c r="F60" s="5"/>
      <c r="G60" s="4"/>
      <c r="H60" s="4"/>
      <c r="I60" s="4"/>
    </row>
    <row r="61" spans="1:9" hidden="1">
      <c r="A61" s="73" t="s">
        <v>214</v>
      </c>
      <c r="B61" s="66" t="s">
        <v>215</v>
      </c>
      <c r="C61" s="65" t="s">
        <v>204</v>
      </c>
      <c r="E61" s="65">
        <f>'1. Pre-Restoration Likelihood'!L149</f>
        <v>0.6899999999999995</v>
      </c>
      <c r="F61" s="5"/>
      <c r="G61" s="4"/>
      <c r="H61" s="4"/>
      <c r="I61" s="4"/>
    </row>
    <row r="62" spans="1:9" hidden="1">
      <c r="A62" s="67" t="s">
        <v>216</v>
      </c>
      <c r="B62" s="66" t="s">
        <v>217</v>
      </c>
      <c r="C62" s="65" t="s">
        <v>204</v>
      </c>
      <c r="E62" s="65">
        <f>'1. Pre-Restoration Likelihood'!L150</f>
        <v>9.81</v>
      </c>
      <c r="F62" s="5"/>
      <c r="G62" s="4"/>
      <c r="H62" s="4"/>
      <c r="I62" s="4"/>
    </row>
    <row r="63" spans="1:9" hidden="1">
      <c r="A63" s="67" t="s">
        <v>218</v>
      </c>
      <c r="B63" s="65" t="s">
        <v>219</v>
      </c>
      <c r="C63" s="65" t="s">
        <v>220</v>
      </c>
      <c r="E63" s="65">
        <f>'1. Pre-Restoration Likelihood'!L151</f>
        <v>1</v>
      </c>
      <c r="F63" s="5"/>
      <c r="G63" s="4"/>
      <c r="H63" s="4"/>
      <c r="I63" s="4"/>
    </row>
    <row r="64" spans="1:9" hidden="1">
      <c r="A64" s="67" t="s">
        <v>221</v>
      </c>
      <c r="B64" s="65" t="s">
        <v>222</v>
      </c>
      <c r="C64" s="65" t="s">
        <v>220</v>
      </c>
      <c r="E64" s="65">
        <f>'1. Pre-Restoration Likelihood'!L152</f>
        <v>500</v>
      </c>
      <c r="F64" s="5"/>
      <c r="G64" s="4"/>
      <c r="H64" s="4"/>
      <c r="I64" s="4"/>
    </row>
    <row r="65" spans="1:9" hidden="1">
      <c r="A65" s="67" t="s">
        <v>223</v>
      </c>
      <c r="B65" s="65" t="s">
        <v>224</v>
      </c>
      <c r="C65" s="65" t="s">
        <v>220</v>
      </c>
      <c r="E65" s="65">
        <f>'1. Pre-Restoration Likelihood'!L153</f>
        <v>100</v>
      </c>
      <c r="F65" s="5"/>
      <c r="G65" s="4"/>
      <c r="H65" s="4"/>
      <c r="I65" s="4"/>
    </row>
    <row r="66" spans="1:9" hidden="1">
      <c r="A66" s="67" t="s">
        <v>225</v>
      </c>
      <c r="B66" s="58" t="s">
        <v>226</v>
      </c>
      <c r="C66" s="58" t="s">
        <v>220</v>
      </c>
      <c r="E66" s="65">
        <f>'1. Pre-Restoration Likelihood'!L154</f>
        <v>0.5</v>
      </c>
      <c r="F66" s="5"/>
      <c r="G66" s="4"/>
      <c r="H66" s="4"/>
      <c r="I66" s="4"/>
    </row>
    <row r="67" spans="1:9" hidden="1">
      <c r="A67" s="73" t="s">
        <v>231</v>
      </c>
      <c r="B67" s="68" t="s">
        <v>230</v>
      </c>
      <c r="C67" s="58" t="s">
        <v>202</v>
      </c>
      <c r="E67" s="65">
        <f>'1. Pre-Restoration Likelihood'!L155</f>
        <v>2.5</v>
      </c>
      <c r="F67" s="5"/>
      <c r="G67" s="4"/>
      <c r="H67" s="4"/>
      <c r="I67" s="4"/>
    </row>
    <row r="68" spans="1:9" hidden="1">
      <c r="A68" s="73" t="s">
        <v>232</v>
      </c>
      <c r="B68" s="58" t="s">
        <v>234</v>
      </c>
      <c r="C68" s="58" t="s">
        <v>202</v>
      </c>
      <c r="E68" s="65" t="e">
        <f>'1. Pre-Restoration Likelihood'!L156</f>
        <v>#N/A</v>
      </c>
      <c r="F68" s="5"/>
      <c r="G68" s="4"/>
      <c r="H68" s="4"/>
      <c r="I68" s="4"/>
    </row>
    <row r="69" spans="1:9" hidden="1">
      <c r="A69" s="67" t="s">
        <v>233</v>
      </c>
      <c r="B69" s="58" t="s">
        <v>235</v>
      </c>
      <c r="C69" s="58" t="s">
        <v>202</v>
      </c>
      <c r="E69" s="65" t="e">
        <f>'1. Pre-Restoration Likelihood'!L157</f>
        <v>#DIV/0!</v>
      </c>
      <c r="F69" s="5"/>
      <c r="G69" s="4"/>
      <c r="H69" s="4"/>
      <c r="I69" s="4"/>
    </row>
    <row r="70" spans="1:9" hidden="1">
      <c r="A70" s="67" t="s">
        <v>236</v>
      </c>
      <c r="B70" s="68" t="s">
        <v>237</v>
      </c>
      <c r="C70" s="58" t="s">
        <v>202</v>
      </c>
      <c r="E70" s="65">
        <f>'1. Pre-Restoration Likelihood'!L158</f>
        <v>2.5</v>
      </c>
      <c r="F70" s="5"/>
      <c r="G70" s="4"/>
      <c r="H70" s="4"/>
      <c r="I70" s="4"/>
    </row>
    <row r="71" spans="1:9" hidden="1">
      <c r="A71" s="67" t="s">
        <v>265</v>
      </c>
      <c r="B71" s="58" t="s">
        <v>240</v>
      </c>
      <c r="C71" s="58" t="s">
        <v>210</v>
      </c>
      <c r="E71" s="72">
        <f>((E58+(E60-E63*E62)*E66*COS(RADIANS(E70))*COS(RADIANS(E70))*TAN(RADIANS(E59)))*E64*E65)/(E60*E66*SIN(RADIANS(E70))*COS(RADIANS(E70))*E64*E65)</f>
        <v>22.908577478454543</v>
      </c>
      <c r="F71" s="72">
        <f>IF(ISERROR(E71),"Too few parameters to calculate",E71)</f>
        <v>22.908577478454543</v>
      </c>
      <c r="G71" s="4"/>
      <c r="H71" s="4"/>
      <c r="I71" s="4"/>
    </row>
    <row r="72" spans="1:9" hidden="1">
      <c r="A72" s="4"/>
      <c r="B72" s="4"/>
      <c r="C72" s="4"/>
      <c r="E72" s="4"/>
      <c r="F72" s="5"/>
      <c r="G72" s="4"/>
      <c r="H72" s="4"/>
      <c r="I72" s="4"/>
    </row>
    <row r="73" spans="1:9" hidden="1">
      <c r="A73" s="60" t="s">
        <v>241</v>
      </c>
      <c r="B73" s="61" t="s">
        <v>242</v>
      </c>
      <c r="C73" s="61" t="s">
        <v>210</v>
      </c>
      <c r="E73" s="72">
        <f>TAN(RADIANS(45+E59/2))^2</f>
        <v>3.6901723321426658</v>
      </c>
      <c r="F73" s="5"/>
      <c r="G73" s="4"/>
      <c r="H73" s="4"/>
      <c r="I73" s="4"/>
    </row>
    <row r="74" spans="1:9" hidden="1">
      <c r="A74" s="60" t="s">
        <v>243</v>
      </c>
      <c r="B74" s="61" t="s">
        <v>244</v>
      </c>
      <c r="C74" s="61" t="s">
        <v>220</v>
      </c>
      <c r="E74" s="61">
        <f>'1. Pre-Restoration Likelihood'!L162</f>
        <v>0.5</v>
      </c>
      <c r="F74" s="5"/>
      <c r="G74" s="4"/>
      <c r="H74" s="4"/>
      <c r="I74" s="4"/>
    </row>
    <row r="75" spans="1:9" hidden="1">
      <c r="A75" s="60" t="s">
        <v>245</v>
      </c>
      <c r="B75" s="61" t="s">
        <v>246</v>
      </c>
      <c r="C75" s="61" t="s">
        <v>220</v>
      </c>
      <c r="E75" s="61">
        <f>'1. Pre-Restoration Likelihood'!L163</f>
        <v>0.5</v>
      </c>
      <c r="F75" s="5"/>
      <c r="G75" s="4"/>
      <c r="H75" s="4"/>
      <c r="I75" s="4"/>
    </row>
    <row r="76" spans="1:9" hidden="1">
      <c r="A76" s="62" t="s">
        <v>247</v>
      </c>
      <c r="B76" s="63" t="s">
        <v>248</v>
      </c>
      <c r="C76" s="63" t="s">
        <v>220</v>
      </c>
      <c r="E76" s="61">
        <f>'1. Pre-Restoration Likelihood'!L164</f>
        <v>1</v>
      </c>
      <c r="F76" s="5"/>
      <c r="G76" s="4"/>
      <c r="H76" s="4"/>
      <c r="I76" s="4"/>
    </row>
    <row r="77" spans="1:9" hidden="1">
      <c r="A77" s="60" t="s">
        <v>249</v>
      </c>
      <c r="B77" s="61" t="s">
        <v>250</v>
      </c>
      <c r="C77" s="61" t="s">
        <v>251</v>
      </c>
      <c r="E77" s="78">
        <f>'1. Pre-Restoration Likelihood'!L165</f>
        <v>0.44444444444444442</v>
      </c>
      <c r="F77" s="5"/>
      <c r="G77" s="4"/>
      <c r="H77" s="4"/>
      <c r="I77" s="4"/>
    </row>
    <row r="78" spans="1:9" hidden="1">
      <c r="A78" s="60" t="s">
        <v>252</v>
      </c>
      <c r="B78" s="61" t="s">
        <v>253</v>
      </c>
      <c r="C78" s="61" t="s">
        <v>220</v>
      </c>
      <c r="E78" s="61">
        <f>'1. Pre-Restoration Likelihood'!L166</f>
        <v>15</v>
      </c>
      <c r="F78" s="5"/>
      <c r="G78" s="4"/>
      <c r="H78" s="4"/>
      <c r="I78" s="4"/>
    </row>
    <row r="79" spans="1:9" hidden="1">
      <c r="A79" s="60" t="s">
        <v>254</v>
      </c>
      <c r="B79" s="64" t="s">
        <v>255</v>
      </c>
      <c r="C79" s="61" t="s">
        <v>220</v>
      </c>
      <c r="E79" s="61">
        <f>'1. Pre-Restoration Likelihood'!L167</f>
        <v>0.2</v>
      </c>
      <c r="F79" s="5"/>
      <c r="G79" s="4"/>
      <c r="H79" s="4"/>
      <c r="I79" s="4"/>
    </row>
    <row r="80" spans="1:9" hidden="1">
      <c r="A80" s="60" t="s">
        <v>256</v>
      </c>
      <c r="B80" s="64" t="s">
        <v>257</v>
      </c>
      <c r="C80" s="61" t="s">
        <v>204</v>
      </c>
      <c r="E80" s="74">
        <f>'1. Pre-Restoration Likelihood'!L168</f>
        <v>3.4335</v>
      </c>
      <c r="F80" s="5"/>
      <c r="G80" s="4"/>
      <c r="H80" s="4"/>
      <c r="I80" s="4"/>
    </row>
    <row r="81" spans="1:9" hidden="1">
      <c r="A81" s="60" t="s">
        <v>258</v>
      </c>
      <c r="B81" s="61" t="s">
        <v>259</v>
      </c>
      <c r="C81" s="61" t="s">
        <v>210</v>
      </c>
      <c r="E81" s="61">
        <f>'1. Pre-Restoration Likelihood'!L169</f>
        <v>0.5</v>
      </c>
      <c r="F81" s="5"/>
      <c r="G81" s="4"/>
      <c r="H81" s="4"/>
      <c r="I81" s="4"/>
    </row>
    <row r="82" spans="1:9" hidden="1">
      <c r="A82" s="75" t="s">
        <v>260</v>
      </c>
      <c r="B82" s="76" t="s">
        <v>261</v>
      </c>
      <c r="C82" s="76" t="s">
        <v>262</v>
      </c>
      <c r="E82" s="74">
        <f>'1. Pre-Restoration Likelihood'!L170</f>
        <v>2.4269981346226253</v>
      </c>
      <c r="F82" s="5"/>
      <c r="G82" s="4"/>
      <c r="H82" s="4"/>
      <c r="I82" s="4"/>
    </row>
    <row r="83" spans="1:9" hidden="1">
      <c r="A83" s="75" t="s">
        <v>263</v>
      </c>
      <c r="B83" s="76" t="s">
        <v>264</v>
      </c>
      <c r="C83" s="76" t="s">
        <v>200</v>
      </c>
      <c r="E83" s="74">
        <f>'1. Pre-Restoration Likelihood'!L171</f>
        <v>1.0786658376100555</v>
      </c>
      <c r="F83" s="5"/>
      <c r="G83" s="4"/>
      <c r="H83" s="4"/>
      <c r="I83" s="4"/>
    </row>
    <row r="84" spans="1:9" hidden="1">
      <c r="A84" s="67" t="s">
        <v>267</v>
      </c>
      <c r="B84" s="58" t="s">
        <v>240</v>
      </c>
      <c r="C84" s="58" t="s">
        <v>210</v>
      </c>
      <c r="E84" s="72">
        <f>IF(E66&lt;E76,((E58+E60*E66*COS(RADIANS(E70))*COS(RADIANS(E70))*TAN(RADIANS(E59)))*E64*E65)/((E60*E66*SIN(RADIANS(E70))*COS(RADIANS(E70))+E83)*E64*E65),((E58+(E60*E66-E63*E62*E66+E76*E62)*COS(RADIANS(E70))*COS(RADIANS(E70))*TAN(RADIANS(E59)))*E64*E65)/((E60*E66*SIN(RADIANS(E70))*COS(RADIANS(E70))+E83)*E64*E65))</f>
        <v>6.6305384521359141</v>
      </c>
      <c r="F84" s="72">
        <f>IF(ISERROR(E84),"Too few parameters to calculate",E84)</f>
        <v>6.6305384521359141</v>
      </c>
      <c r="G84" s="4"/>
      <c r="H84" s="4"/>
      <c r="I84" s="4"/>
    </row>
    <row r="85" spans="1:9" hidden="1">
      <c r="A85" s="67" t="s">
        <v>269</v>
      </c>
      <c r="B85" s="58" t="s">
        <v>240</v>
      </c>
      <c r="C85" s="58" t="s">
        <v>210</v>
      </c>
      <c r="E85" s="72">
        <f>IF(E66&lt;E76/2,((E58+E60*E66*COS(RADIANS(E70))*COS(RADIANS(E70))*TAN(RADIANS(E59)))*E64*E65)/((E60*E66*SIN(RADIANS(E70))*COS(RADIANS(E70))+E83)*E64*E65),((E58+(E60*E66-E63*E62*E66+E76/2*E62)*COS(RADIANS(E70))*COS(RADIANS(E70))*TAN(RADIANS(E59)))*E64*E65)/((E60*E66*SIN(RADIANS(E70))*COS(RADIANS(E70))+E83)*E64*E65))</f>
        <v>6.6305384521359141</v>
      </c>
      <c r="F85" s="72">
        <f>IF(ISERROR(E85),"Too few parameters to calculate",E85)</f>
        <v>6.6305384521359141</v>
      </c>
      <c r="G85" s="4"/>
      <c r="H85" s="4"/>
      <c r="I85" s="4"/>
    </row>
    <row r="86" spans="1:9" hidden="1">
      <c r="A86" s="67" t="s">
        <v>266</v>
      </c>
      <c r="B86" s="58" t="s">
        <v>240</v>
      </c>
      <c r="C86" s="58" t="s">
        <v>210</v>
      </c>
      <c r="E86" s="74">
        <f>(((E58+(E60-E63*E62)*E66*COS(RADIANS(E70))*COS(RADIANS(E70))*TAN(RADIANS(E59)))*E64*E65)+E60*E66*E73*E66*E65)/(E60*E66*SIN(RADIANS(E70))*COS(RADIANS(E70))*E64*E65)</f>
        <v>22.993257436786759</v>
      </c>
      <c r="F86" s="72">
        <f>IF(ISERROR(E86),"Too few parameters to calculate",E86)</f>
        <v>22.993257436786759</v>
      </c>
      <c r="G86" s="4"/>
      <c r="H86" s="4"/>
      <c r="I86" s="4"/>
    </row>
    <row r="87" spans="1:9" hidden="1">
      <c r="A87" s="67" t="s">
        <v>270</v>
      </c>
      <c r="B87" s="58" t="s">
        <v>240</v>
      </c>
      <c r="C87" s="58" t="s">
        <v>210</v>
      </c>
      <c r="E87" s="74">
        <f>IF(E66&lt;E76/2,(((E58+E60*E66*COS(RADIANS(E70))*COS(RADIANS(E70))*TAN(RADIANS(E59)))*E64*E65)+E60*E66*E73*E66*E65)/((E60*E66*SIN(RADIANS(E70))*COS(RADIANS(E70))+E83)*E64*E65),(((E58+(E60*E66-E63*E62*E66+E76/2*E62)*COS(RADIANS(E70))*COS(RADIANS(E70))*TAN(RADIANS(E59)))*E64*E65)+E60*E66*E73*E66*E65)/((E60*E66*SIN(RADIANS(E70))*COS(RADIANS(E70))+E83)*E64*E65))</f>
        <v>6.6453561581647129</v>
      </c>
      <c r="F87" s="72">
        <f>IF(ISERROR(E87),"Too few parameters to calculate",E87)</f>
        <v>6.6453561581647129</v>
      </c>
      <c r="G87" s="4"/>
      <c r="H87" s="4"/>
      <c r="I87" s="4"/>
    </row>
    <row r="88" spans="1:9" hidden="1">
      <c r="G88" s="4"/>
      <c r="H88" s="4"/>
      <c r="I88" s="4"/>
    </row>
    <row r="89" spans="1:9" s="4" customFormat="1" hidden="1">
      <c r="F89" s="5"/>
    </row>
    <row r="90" spans="1:9" s="4" customFormat="1" hidden="1">
      <c r="F90" s="5"/>
    </row>
    <row r="91" spans="1:9" s="4" customFormat="1" hidden="1">
      <c r="F91" s="5"/>
    </row>
    <row r="92" spans="1:9" s="4" customFormat="1" hidden="1">
      <c r="F92" s="5"/>
    </row>
    <row r="93" spans="1:9" s="4" customFormat="1" hidden="1">
      <c r="F93" s="5"/>
    </row>
    <row r="94" spans="1:9" s="4" customFormat="1" hidden="1">
      <c r="F94" s="5"/>
    </row>
    <row r="95" spans="1:9" s="4" customFormat="1" hidden="1">
      <c r="F95" s="5"/>
    </row>
    <row r="96" spans="1:9" s="4" customFormat="1" hidden="1">
      <c r="F96" s="5"/>
    </row>
    <row r="97" spans="6:6" s="4" customFormat="1" hidden="1">
      <c r="F97" s="5"/>
    </row>
    <row r="98" spans="6:6" s="4" customFormat="1" hidden="1">
      <c r="F98" s="5"/>
    </row>
    <row r="99" spans="6:6" s="4" customFormat="1" hidden="1">
      <c r="F99" s="5"/>
    </row>
    <row r="100" spans="6:6" s="4" customFormat="1" hidden="1">
      <c r="F100" s="5"/>
    </row>
    <row r="101" spans="6:6" s="4" customFormat="1" hidden="1">
      <c r="F101" s="5"/>
    </row>
    <row r="102" spans="6:6" s="4" customFormat="1" hidden="1">
      <c r="F102" s="5"/>
    </row>
    <row r="103" spans="6:6" s="4" customFormat="1" hidden="1">
      <c r="F103" s="5"/>
    </row>
    <row r="104" spans="6:6" s="4" customFormat="1" hidden="1">
      <c r="F104" s="5"/>
    </row>
    <row r="105" spans="6:6" s="4" customFormat="1" hidden="1">
      <c r="F105" s="5"/>
    </row>
    <row r="106" spans="6:6" s="4" customFormat="1" hidden="1">
      <c r="F106" s="5"/>
    </row>
    <row r="107" spans="6:6" s="4" customFormat="1" hidden="1">
      <c r="F107" s="5"/>
    </row>
    <row r="108" spans="6:6" s="4" customFormat="1" hidden="1">
      <c r="F108" s="5"/>
    </row>
    <row r="109" spans="6:6" s="4" customFormat="1" hidden="1">
      <c r="F109" s="5"/>
    </row>
    <row r="110" spans="6:6" s="4" customFormat="1" hidden="1">
      <c r="F110" s="5"/>
    </row>
    <row r="111" spans="6:6" s="4" customFormat="1" hidden="1">
      <c r="F111" s="5"/>
    </row>
    <row r="112" spans="6:6" s="4" customFormat="1" hidden="1">
      <c r="F112" s="5"/>
    </row>
    <row r="113" spans="6:6" s="4" customFormat="1" hidden="1">
      <c r="F113" s="5"/>
    </row>
    <row r="114" spans="6:6" s="4" customFormat="1" hidden="1">
      <c r="F114" s="5"/>
    </row>
    <row r="115" spans="6:6" s="4" customFormat="1">
      <c r="F115" s="5"/>
    </row>
    <row r="116" spans="6:6" s="4" customFormat="1">
      <c r="F116" s="5"/>
    </row>
    <row r="117" spans="6:6" s="4" customFormat="1">
      <c r="F117" s="5"/>
    </row>
    <row r="118" spans="6:6" s="4" customFormat="1">
      <c r="F118" s="5"/>
    </row>
    <row r="119" spans="6:6" s="4" customFormat="1">
      <c r="F119" s="5"/>
    </row>
    <row r="120" spans="6:6" s="4" customFormat="1">
      <c r="F120" s="5"/>
    </row>
    <row r="121" spans="6:6" s="4" customFormat="1">
      <c r="F121" s="5"/>
    </row>
    <row r="122" spans="6:6" s="4" customFormat="1">
      <c r="F122" s="5"/>
    </row>
    <row r="123" spans="6:6" s="4" customFormat="1">
      <c r="F123" s="5"/>
    </row>
    <row r="124" spans="6:6" s="4" customFormat="1">
      <c r="F124" s="5"/>
    </row>
    <row r="125" spans="6:6" s="4" customFormat="1">
      <c r="F125" s="5"/>
    </row>
    <row r="126" spans="6:6" s="4" customFormat="1">
      <c r="F126" s="5"/>
    </row>
    <row r="127" spans="6:6" s="4" customFormat="1">
      <c r="F127" s="5"/>
    </row>
    <row r="128" spans="6:6" s="4" customFormat="1">
      <c r="F128" s="5"/>
    </row>
    <row r="129" spans="6:6" s="4" customFormat="1">
      <c r="F129" s="5"/>
    </row>
    <row r="130" spans="6:6" s="4" customFormat="1">
      <c r="F130" s="5"/>
    </row>
    <row r="131" spans="6:6" s="4" customFormat="1">
      <c r="F131" s="5"/>
    </row>
    <row r="132" spans="6:6" s="4" customFormat="1">
      <c r="F132" s="5"/>
    </row>
    <row r="133" spans="6:6" s="4" customFormat="1">
      <c r="F133" s="5"/>
    </row>
    <row r="134" spans="6:6" s="4" customFormat="1">
      <c r="F134" s="5"/>
    </row>
    <row r="135" spans="6:6" s="4" customFormat="1">
      <c r="F135" s="5"/>
    </row>
    <row r="136" spans="6:6" s="4" customFormat="1">
      <c r="F136" s="5"/>
    </row>
    <row r="137" spans="6:6" s="4" customFormat="1">
      <c r="F137" s="5"/>
    </row>
    <row r="138" spans="6:6" s="4" customFormat="1">
      <c r="F138" s="5"/>
    </row>
    <row r="139" spans="6:6" s="4" customFormat="1">
      <c r="F139" s="5"/>
    </row>
    <row r="140" spans="6:6" s="4" customFormat="1">
      <c r="F140" s="5"/>
    </row>
    <row r="141" spans="6:6" s="4" customFormat="1">
      <c r="F141" s="5"/>
    </row>
    <row r="142" spans="6:6" s="4" customFormat="1">
      <c r="F142" s="5"/>
    </row>
    <row r="143" spans="6:6" s="4" customFormat="1">
      <c r="F143" s="5"/>
    </row>
    <row r="144" spans="6:6" s="4" customFormat="1">
      <c r="F144" s="5"/>
    </row>
    <row r="145" spans="6:6" s="4" customFormat="1">
      <c r="F145" s="5"/>
    </row>
    <row r="146" spans="6:6" s="4" customFormat="1">
      <c r="F146" s="5"/>
    </row>
    <row r="147" spans="6:6" s="4" customFormat="1">
      <c r="F147" s="5"/>
    </row>
    <row r="148" spans="6:6" s="4" customFormat="1">
      <c r="F148" s="5"/>
    </row>
    <row r="149" spans="6:6" s="4" customFormat="1">
      <c r="F149" s="5"/>
    </row>
    <row r="150" spans="6:6" s="4" customFormat="1">
      <c r="F150" s="5"/>
    </row>
    <row r="151" spans="6:6" s="4" customFormat="1">
      <c r="F151" s="5"/>
    </row>
    <row r="152" spans="6:6" s="4" customFormat="1">
      <c r="F152" s="5"/>
    </row>
    <row r="153" spans="6:6" s="4" customFormat="1">
      <c r="F153" s="5"/>
    </row>
    <row r="154" spans="6:6" s="4" customFormat="1">
      <c r="F154" s="5"/>
    </row>
    <row r="155" spans="6:6" s="4" customFormat="1">
      <c r="F155" s="5"/>
    </row>
    <row r="156" spans="6:6" s="4" customFormat="1">
      <c r="F156" s="5"/>
    </row>
    <row r="157" spans="6:6" s="4" customFormat="1">
      <c r="F157" s="5"/>
    </row>
    <row r="158" spans="6:6" s="4" customFormat="1">
      <c r="F158" s="5"/>
    </row>
    <row r="159" spans="6:6" s="4" customFormat="1">
      <c r="F159" s="5"/>
    </row>
    <row r="160" spans="6:6" s="4" customFormat="1">
      <c r="F160" s="5"/>
    </row>
    <row r="161" spans="6:6" s="4" customFormat="1">
      <c r="F161" s="5"/>
    </row>
    <row r="162" spans="6:6" s="4" customFormat="1">
      <c r="F162" s="5"/>
    </row>
    <row r="163" spans="6:6" s="4" customFormat="1">
      <c r="F163" s="5"/>
    </row>
    <row r="164" spans="6:6" s="4" customFormat="1">
      <c r="F164" s="5"/>
    </row>
    <row r="165" spans="6:6" s="4" customFormat="1">
      <c r="F165" s="5"/>
    </row>
    <row r="166" spans="6:6" s="4" customFormat="1">
      <c r="F166" s="5"/>
    </row>
    <row r="167" spans="6:6" s="4" customFormat="1">
      <c r="F167" s="5"/>
    </row>
    <row r="168" spans="6:6" s="4" customFormat="1">
      <c r="F168" s="5"/>
    </row>
    <row r="169" spans="6:6" s="4" customFormat="1">
      <c r="F169" s="5"/>
    </row>
    <row r="170" spans="6:6" s="4" customFormat="1">
      <c r="F170" s="5"/>
    </row>
    <row r="171" spans="6:6" s="4" customFormat="1">
      <c r="F171" s="5"/>
    </row>
    <row r="172" spans="6:6" s="4" customFormat="1">
      <c r="F172" s="5"/>
    </row>
    <row r="173" spans="6:6" s="4" customFormat="1">
      <c r="F173" s="5"/>
    </row>
    <row r="174" spans="6:6" s="4" customFormat="1">
      <c r="F174" s="5"/>
    </row>
    <row r="175" spans="6:6" s="4" customFormat="1">
      <c r="F175" s="5"/>
    </row>
    <row r="176" spans="6:6" s="4" customFormat="1">
      <c r="F176" s="5"/>
    </row>
    <row r="177" spans="6:6" s="4" customFormat="1">
      <c r="F177" s="5"/>
    </row>
    <row r="178" spans="6:6" s="4" customFormat="1">
      <c r="F178" s="5"/>
    </row>
    <row r="179" spans="6:6" s="4" customFormat="1">
      <c r="F179" s="5"/>
    </row>
    <row r="180" spans="6:6" s="4" customFormat="1">
      <c r="F180" s="5"/>
    </row>
    <row r="181" spans="6:6" s="4" customFormat="1">
      <c r="F181" s="5"/>
    </row>
    <row r="182" spans="6:6" s="4" customFormat="1">
      <c r="F182" s="5"/>
    </row>
    <row r="183" spans="6:6" s="4" customFormat="1">
      <c r="F183" s="5"/>
    </row>
    <row r="184" spans="6:6" s="4" customFormat="1">
      <c r="F184" s="5"/>
    </row>
    <row r="185" spans="6:6" s="4" customFormat="1">
      <c r="F185" s="5"/>
    </row>
    <row r="186" spans="6:6" s="4" customFormat="1">
      <c r="F186" s="5"/>
    </row>
    <row r="187" spans="6:6" s="4" customFormat="1">
      <c r="F187" s="5"/>
    </row>
    <row r="188" spans="6:6" s="4" customFormat="1">
      <c r="F188" s="5"/>
    </row>
    <row r="189" spans="6:6" s="4" customFormat="1">
      <c r="F189" s="5"/>
    </row>
    <row r="190" spans="6:6" s="4" customFormat="1">
      <c r="F190" s="5"/>
    </row>
    <row r="191" spans="6:6" s="4" customFormat="1">
      <c r="F191" s="5"/>
    </row>
    <row r="192" spans="6:6" s="4" customFormat="1">
      <c r="F192" s="5"/>
    </row>
    <row r="193" spans="6:6" s="4" customFormat="1">
      <c r="F193" s="5"/>
    </row>
    <row r="194" spans="6:6" s="4" customFormat="1">
      <c r="F194" s="5"/>
    </row>
    <row r="195" spans="6:6" s="4" customFormat="1">
      <c r="F195" s="5"/>
    </row>
    <row r="196" spans="6:6" s="4" customFormat="1">
      <c r="F196" s="5"/>
    </row>
    <row r="197" spans="6:6" s="4" customFormat="1">
      <c r="F197" s="5"/>
    </row>
    <row r="198" spans="6:6" s="4" customFormat="1">
      <c r="F198" s="5"/>
    </row>
    <row r="199" spans="6:6" s="4" customFormat="1">
      <c r="F199" s="5"/>
    </row>
    <row r="200" spans="6:6" s="4" customFormat="1">
      <c r="F200" s="5"/>
    </row>
    <row r="201" spans="6:6" s="4" customFormat="1">
      <c r="F201" s="5"/>
    </row>
    <row r="202" spans="6:6" s="4" customFormat="1">
      <c r="F202" s="5"/>
    </row>
    <row r="203" spans="6:6" s="4" customFormat="1">
      <c r="F203" s="5"/>
    </row>
    <row r="204" spans="6:6" s="4" customFormat="1">
      <c r="F204" s="5"/>
    </row>
    <row r="205" spans="6:6" s="4" customFormat="1">
      <c r="F205" s="5"/>
    </row>
    <row r="206" spans="6:6" s="4" customFormat="1">
      <c r="F206" s="5"/>
    </row>
    <row r="207" spans="6:6" s="4" customFormat="1">
      <c r="F207" s="5"/>
    </row>
    <row r="208" spans="6:6" s="4" customFormat="1">
      <c r="F208" s="5"/>
    </row>
    <row r="209" spans="6:6" s="4" customFormat="1">
      <c r="F209" s="5"/>
    </row>
    <row r="210" spans="6:6" s="4" customFormat="1">
      <c r="F210" s="5"/>
    </row>
    <row r="211" spans="6:6" s="4" customFormat="1">
      <c r="F211" s="5"/>
    </row>
    <row r="212" spans="6:6" s="4" customFormat="1">
      <c r="F212" s="5"/>
    </row>
    <row r="213" spans="6:6" s="4" customFormat="1">
      <c r="F213" s="5"/>
    </row>
    <row r="214" spans="6:6" s="4" customFormat="1">
      <c r="F214" s="5"/>
    </row>
    <row r="215" spans="6:6" s="4" customFormat="1">
      <c r="F215" s="5"/>
    </row>
    <row r="216" spans="6:6" s="4" customFormat="1">
      <c r="F216" s="5"/>
    </row>
    <row r="217" spans="6:6" s="4" customFormat="1">
      <c r="F217" s="5"/>
    </row>
    <row r="218" spans="6:6" s="4" customFormat="1">
      <c r="F218" s="5"/>
    </row>
    <row r="219" spans="6:6" s="4" customFormat="1">
      <c r="F219" s="5"/>
    </row>
    <row r="220" spans="6:6" s="4" customFormat="1">
      <c r="F220" s="5"/>
    </row>
    <row r="221" spans="6:6" s="4" customFormat="1">
      <c r="F221" s="5"/>
    </row>
    <row r="222" spans="6:6" s="4" customFormat="1">
      <c r="F222" s="5"/>
    </row>
    <row r="223" spans="6:6" s="4" customFormat="1">
      <c r="F223" s="5"/>
    </row>
    <row r="224" spans="6:6" s="4" customFormat="1">
      <c r="F224" s="5"/>
    </row>
    <row r="225" spans="6:6" s="4" customFormat="1">
      <c r="F225" s="5"/>
    </row>
    <row r="226" spans="6:6" s="4" customFormat="1">
      <c r="F226" s="5"/>
    </row>
    <row r="227" spans="6:6" s="4" customFormat="1">
      <c r="F227" s="5"/>
    </row>
    <row r="228" spans="6:6" s="4" customFormat="1">
      <c r="F228" s="5"/>
    </row>
    <row r="229" spans="6:6" s="4" customFormat="1">
      <c r="F229" s="5"/>
    </row>
    <row r="230" spans="6:6" s="4" customFormat="1">
      <c r="F230" s="5"/>
    </row>
    <row r="231" spans="6:6" s="4" customFormat="1">
      <c r="F231" s="5"/>
    </row>
    <row r="232" spans="6:6" s="4" customFormat="1">
      <c r="F232" s="5"/>
    </row>
    <row r="233" spans="6:6" s="4" customFormat="1">
      <c r="F233" s="5"/>
    </row>
    <row r="234" spans="6:6" s="4" customFormat="1">
      <c r="F234" s="5"/>
    </row>
    <row r="235" spans="6:6" s="4" customFormat="1">
      <c r="F235" s="5"/>
    </row>
    <row r="236" spans="6:6" s="4" customFormat="1">
      <c r="F236" s="5"/>
    </row>
    <row r="237" spans="6:6" s="4" customFormat="1">
      <c r="F237" s="5"/>
    </row>
    <row r="238" spans="6:6" s="4" customFormat="1">
      <c r="F238" s="5"/>
    </row>
    <row r="239" spans="6:6" s="4" customFormat="1">
      <c r="F239" s="5"/>
    </row>
    <row r="240" spans="6:6" s="4" customFormat="1">
      <c r="F240" s="5"/>
    </row>
    <row r="241" spans="6:6" s="4" customFormat="1">
      <c r="F241" s="5"/>
    </row>
    <row r="242" spans="6:6" s="4" customFormat="1">
      <c r="F242" s="5"/>
    </row>
    <row r="243" spans="6:6" s="4" customFormat="1">
      <c r="F243" s="5"/>
    </row>
    <row r="244" spans="6:6" s="4" customFormat="1">
      <c r="F244" s="5"/>
    </row>
    <row r="245" spans="6:6" s="4" customFormat="1">
      <c r="F245" s="5"/>
    </row>
    <row r="246" spans="6:6" s="4" customFormat="1">
      <c r="F246" s="5"/>
    </row>
    <row r="247" spans="6:6" s="4" customFormat="1">
      <c r="F247" s="5"/>
    </row>
    <row r="248" spans="6:6" s="4" customFormat="1">
      <c r="F248" s="5"/>
    </row>
    <row r="249" spans="6:6" s="4" customFormat="1">
      <c r="F249" s="5"/>
    </row>
    <row r="250" spans="6:6" s="4" customFormat="1">
      <c r="F250" s="5"/>
    </row>
    <row r="251" spans="6:6" s="4" customFormat="1">
      <c r="F251" s="5"/>
    </row>
    <row r="252" spans="6:6" s="4" customFormat="1">
      <c r="F252" s="5"/>
    </row>
    <row r="253" spans="6:6" s="4" customFormat="1">
      <c r="F253" s="5"/>
    </row>
    <row r="254" spans="6:6" s="4" customFormat="1">
      <c r="F254" s="5"/>
    </row>
    <row r="255" spans="6:6" s="4" customFormat="1">
      <c r="F255" s="5"/>
    </row>
    <row r="256" spans="6:6" s="4" customFormat="1">
      <c r="F256" s="5"/>
    </row>
    <row r="257" spans="6:6" s="4" customFormat="1">
      <c r="F257" s="5"/>
    </row>
    <row r="258" spans="6:6" s="4" customFormat="1">
      <c r="F258" s="5"/>
    </row>
    <row r="259" spans="6:6" s="4" customFormat="1">
      <c r="F259" s="5"/>
    </row>
    <row r="260" spans="6:6" s="4" customFormat="1">
      <c r="F260" s="5"/>
    </row>
    <row r="261" spans="6:6" s="4" customFormat="1">
      <c r="F261" s="5"/>
    </row>
    <row r="262" spans="6:6" s="4" customFormat="1">
      <c r="F262" s="5"/>
    </row>
    <row r="263" spans="6:6" s="4" customFormat="1">
      <c r="F263" s="5"/>
    </row>
    <row r="264" spans="6:6" s="4" customFormat="1">
      <c r="F264" s="5"/>
    </row>
    <row r="265" spans="6:6" s="4" customFormat="1">
      <c r="F265" s="5"/>
    </row>
    <row r="266" spans="6:6" s="4" customFormat="1">
      <c r="F266" s="5"/>
    </row>
    <row r="267" spans="6:6" s="4" customFormat="1">
      <c r="F267" s="5"/>
    </row>
    <row r="268" spans="6:6" s="4" customFormat="1">
      <c r="F268" s="5"/>
    </row>
    <row r="269" spans="6:6" s="4" customFormat="1">
      <c r="F269" s="5"/>
    </row>
    <row r="270" spans="6:6" s="4" customFormat="1">
      <c r="F270" s="5"/>
    </row>
    <row r="271" spans="6:6" s="4" customFormat="1">
      <c r="F271" s="5"/>
    </row>
    <row r="272" spans="6:6" s="4" customFormat="1">
      <c r="F272" s="5"/>
    </row>
    <row r="273" spans="6:6" s="4" customFormat="1">
      <c r="F273" s="5"/>
    </row>
    <row r="274" spans="6:6" s="4" customFormat="1">
      <c r="F274" s="5"/>
    </row>
    <row r="275" spans="6:6" s="4" customFormat="1">
      <c r="F275" s="5"/>
    </row>
    <row r="276" spans="6:6" s="4" customFormat="1">
      <c r="F276" s="5"/>
    </row>
    <row r="277" spans="6:6" s="4" customFormat="1">
      <c r="F277" s="5"/>
    </row>
    <row r="278" spans="6:6" s="4" customFormat="1">
      <c r="F278" s="5"/>
    </row>
    <row r="279" spans="6:6" s="4" customFormat="1">
      <c r="F279" s="5"/>
    </row>
    <row r="280" spans="6:6" s="4" customFormat="1">
      <c r="F280" s="5"/>
    </row>
    <row r="281" spans="6:6" s="4" customFormat="1">
      <c r="F281" s="5"/>
    </row>
    <row r="282" spans="6:6" s="4" customFormat="1">
      <c r="F282" s="5"/>
    </row>
    <row r="283" spans="6:6" s="4" customFormat="1">
      <c r="F283" s="5"/>
    </row>
    <row r="284" spans="6:6" s="4" customFormat="1">
      <c r="F284" s="5"/>
    </row>
    <row r="285" spans="6:6" s="4" customFormat="1">
      <c r="F285" s="5"/>
    </row>
    <row r="286" spans="6:6" s="4" customFormat="1">
      <c r="F286" s="5"/>
    </row>
    <row r="287" spans="6:6" s="4" customFormat="1">
      <c r="F287" s="5"/>
    </row>
    <row r="288" spans="6:6" s="4" customFormat="1">
      <c r="F288" s="5"/>
    </row>
    <row r="289" spans="6:6" s="4" customFormat="1">
      <c r="F289" s="5"/>
    </row>
    <row r="290" spans="6:6" s="4" customFormat="1">
      <c r="F290" s="5"/>
    </row>
    <row r="291" spans="6:6" s="4" customFormat="1">
      <c r="F291" s="5"/>
    </row>
    <row r="292" spans="6:6" s="4" customFormat="1">
      <c r="F292" s="5"/>
    </row>
    <row r="293" spans="6:6" s="4" customFormat="1">
      <c r="F293" s="5"/>
    </row>
    <row r="294" spans="6:6" s="4" customFormat="1">
      <c r="F294" s="5"/>
    </row>
    <row r="295" spans="6:6" s="4" customFormat="1">
      <c r="F295" s="5"/>
    </row>
    <row r="296" spans="6:6" s="4" customFormat="1">
      <c r="F296" s="5"/>
    </row>
    <row r="297" spans="6:6" s="4" customFormat="1">
      <c r="F297" s="5"/>
    </row>
    <row r="298" spans="6:6" s="4" customFormat="1">
      <c r="F298" s="5"/>
    </row>
    <row r="299" spans="6:6" s="4" customFormat="1">
      <c r="F299" s="5"/>
    </row>
    <row r="300" spans="6:6" s="4" customFormat="1">
      <c r="F300" s="5"/>
    </row>
    <row r="301" spans="6:6" s="4" customFormat="1">
      <c r="F301" s="5"/>
    </row>
    <row r="302" spans="6:6" s="4" customFormat="1">
      <c r="F302" s="5"/>
    </row>
    <row r="303" spans="6:6" s="4" customFormat="1">
      <c r="F303" s="5"/>
    </row>
    <row r="304" spans="6:6" s="4" customFormat="1">
      <c r="F304" s="5"/>
    </row>
    <row r="305" spans="6:6" s="4" customFormat="1">
      <c r="F305" s="5"/>
    </row>
    <row r="306" spans="6:6" s="4" customFormat="1">
      <c r="F306" s="5"/>
    </row>
    <row r="307" spans="6:6" s="4" customFormat="1">
      <c r="F307" s="5"/>
    </row>
    <row r="308" spans="6:6" s="4" customFormat="1">
      <c r="F308" s="5"/>
    </row>
    <row r="309" spans="6:6" s="4" customFormat="1">
      <c r="F309" s="5"/>
    </row>
    <row r="310" spans="6:6" s="4" customFormat="1">
      <c r="F310" s="5"/>
    </row>
    <row r="311" spans="6:6" s="4" customFormat="1">
      <c r="F311" s="5"/>
    </row>
    <row r="312" spans="6:6" s="4" customFormat="1">
      <c r="F312" s="5"/>
    </row>
    <row r="313" spans="6:6" s="4" customFormat="1">
      <c r="F313" s="5"/>
    </row>
    <row r="314" spans="6:6" s="4" customFormat="1">
      <c r="F314" s="5"/>
    </row>
    <row r="315" spans="6:6" s="4" customFormat="1">
      <c r="F315" s="5"/>
    </row>
    <row r="316" spans="6:6" s="4" customFormat="1">
      <c r="F316" s="5"/>
    </row>
    <row r="317" spans="6:6" s="4" customFormat="1">
      <c r="F317" s="5"/>
    </row>
    <row r="318" spans="6:6" s="4" customFormat="1">
      <c r="F318" s="5"/>
    </row>
    <row r="319" spans="6:6" s="4" customFormat="1">
      <c r="F319" s="5"/>
    </row>
    <row r="320" spans="6:6" s="4" customFormat="1">
      <c r="F320" s="5"/>
    </row>
    <row r="321" spans="6:6" s="4" customFormat="1">
      <c r="F321" s="5"/>
    </row>
    <row r="322" spans="6:6" s="4" customFormat="1">
      <c r="F322" s="5"/>
    </row>
    <row r="323" spans="6:6" s="4" customFormat="1">
      <c r="F323" s="5"/>
    </row>
    <row r="324" spans="6:6" s="4" customFormat="1">
      <c r="F324" s="5"/>
    </row>
    <row r="325" spans="6:6" s="4" customFormat="1">
      <c r="F325" s="5"/>
    </row>
    <row r="326" spans="6:6" s="4" customFormat="1">
      <c r="F326" s="5"/>
    </row>
    <row r="327" spans="6:6" s="4" customFormat="1">
      <c r="F327" s="5"/>
    </row>
    <row r="328" spans="6:6" s="4" customFormat="1">
      <c r="F328" s="5"/>
    </row>
    <row r="329" spans="6:6" s="4" customFormat="1">
      <c r="F329" s="5"/>
    </row>
    <row r="330" spans="6:6" s="4" customFormat="1">
      <c r="F330" s="5"/>
    </row>
    <row r="331" spans="6:6" s="4" customFormat="1">
      <c r="F331" s="5"/>
    </row>
    <row r="332" spans="6:6" s="4" customFormat="1">
      <c r="F332" s="5"/>
    </row>
    <row r="333" spans="6:6" s="4" customFormat="1">
      <c r="F333" s="5"/>
    </row>
    <row r="334" spans="6:6" s="4" customFormat="1">
      <c r="F334" s="5"/>
    </row>
    <row r="335" spans="6:6" s="4" customFormat="1">
      <c r="F335" s="5"/>
    </row>
    <row r="336" spans="6:6" s="4" customFormat="1">
      <c r="F336" s="5"/>
    </row>
    <row r="337" spans="6:6" s="4" customFormat="1">
      <c r="F337" s="5"/>
    </row>
  </sheetData>
  <sheetProtection algorithmName="SHA-512" hashValue="1x5LIzaENMcuuYnjq9TAfEuS4Bi7TRh96zQPUY6Mh9Q6Q0+oQkd0gz8kGjULOCHJcRVjNctFk+rfpIHBfQ0yuA==" saltValue="C2RhK0HUReK2OOPJ3118TA==" spinCount="100000" sheet="1" objects="1" scenarios="1"/>
  <conditionalFormatting sqref="C46">
    <cfRule type="cellIs" dxfId="45" priority="5" operator="equal">
      <formula>"VERY HIGH"</formula>
    </cfRule>
    <cfRule type="cellIs" dxfId="44" priority="6" operator="equal">
      <formula>"HIGH"</formula>
    </cfRule>
    <cfRule type="cellIs" dxfId="43" priority="7" operator="equal">
      <formula>"MODERATE"</formula>
    </cfRule>
    <cfRule type="cellIs" dxfId="42" priority="8" operator="equal">
      <formula>"LOW"</formula>
    </cfRule>
    <cfRule type="cellIs" dxfId="41" priority="9" operator="equal">
      <formula>"VERY LOW"</formula>
    </cfRule>
  </conditionalFormatting>
  <conditionalFormatting sqref="E50">
    <cfRule type="cellIs" dxfId="40" priority="1" operator="greaterThan">
      <formula>2</formula>
    </cfRule>
    <cfRule type="cellIs" dxfId="39" priority="2" operator="between">
      <formula>1.4</formula>
      <formula>2</formula>
    </cfRule>
    <cfRule type="cellIs" dxfId="38" priority="3" operator="between">
      <formula>1</formula>
      <formula>1.4</formula>
    </cfRule>
    <cfRule type="cellIs" dxfId="37" priority="4" operator="lessThan">
      <formula>1</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'Drop Down Options'!$K$6:$K$7</xm:f>
          </x14:formula1>
          <xm:sqref>C24 C30 C40:D40</xm:sqref>
        </x14:dataValidation>
        <x14:dataValidation type="list" allowBlank="1" showInputMessage="1" showErrorMessage="1" xr:uid="{00000000-0002-0000-0200-000001000000}">
          <x14:formula1>
            <xm:f>'Drop Down Options'!$K$20:$K$21</xm:f>
          </x14:formula1>
          <xm:sqref>C8 C35</xm:sqref>
        </x14:dataValidation>
        <x14:dataValidation type="list" allowBlank="1" showInputMessage="1" showErrorMessage="1" xr:uid="{00000000-0002-0000-0200-000002000000}">
          <x14:formula1>
            <xm:f>'Drop Down Options'!$K$40:$K$41</xm:f>
          </x14:formula1>
          <xm:sqref>C15</xm:sqref>
        </x14:dataValidation>
        <x14:dataValidation type="list" allowBlank="1" showInputMessage="1" showErrorMessage="1" xr:uid="{00000000-0002-0000-0200-000003000000}">
          <x14:formula1>
            <xm:f>'Drop Down Options'!$K$42:$K$43</xm:f>
          </x14:formula1>
          <xm:sqref>C16</xm:sqref>
        </x14:dataValidation>
        <x14:dataValidation type="list" allowBlank="1" showInputMessage="1" showErrorMessage="1" xr:uid="{00000000-0002-0000-0200-000004000000}">
          <x14:formula1>
            <xm:f>'Drop Down Options'!$K$44:$K$45</xm:f>
          </x14:formula1>
          <xm:sqref>C18</xm:sqref>
        </x14:dataValidation>
        <x14:dataValidation type="list" allowBlank="1" showInputMessage="1" showErrorMessage="1" xr:uid="{00000000-0002-0000-0200-000005000000}">
          <x14:formula1>
            <xm:f>'Drop Down Options'!$K$46:$K$47</xm:f>
          </x14:formula1>
          <xm:sqref>C19</xm:sqref>
        </x14:dataValidation>
        <x14:dataValidation type="list" allowBlank="1" showInputMessage="1" showErrorMessage="1" xr:uid="{00000000-0002-0000-0200-000006000000}">
          <x14:formula1>
            <xm:f>'Drop Down Options'!$K$48:$K$49</xm:f>
          </x14:formula1>
          <xm:sqref>C21:C23</xm:sqref>
        </x14:dataValidation>
        <x14:dataValidation type="list" allowBlank="1" showInputMessage="1" showErrorMessage="1" xr:uid="{00000000-0002-0000-0200-000007000000}">
          <x14:formula1>
            <xm:f>'Drop Down Options'!$K$50:$K$51</xm:f>
          </x14:formula1>
          <xm:sqref>C25</xm:sqref>
        </x14:dataValidation>
        <x14:dataValidation type="list" allowBlank="1" showInputMessage="1" showErrorMessage="1" xr:uid="{00000000-0002-0000-0200-000008000000}">
          <x14:formula1>
            <xm:f>'Drop Down Options'!$K$52:$K$53</xm:f>
          </x14:formula1>
          <xm:sqref>C28</xm:sqref>
        </x14:dataValidation>
        <x14:dataValidation type="list" allowBlank="1" showInputMessage="1" showErrorMessage="1" xr:uid="{00000000-0002-0000-0200-000009000000}">
          <x14:formula1>
            <xm:f>'Drop Down Options'!$K$54:$K$55</xm:f>
          </x14:formula1>
          <xm:sqref>C29</xm:sqref>
        </x14:dataValidation>
        <x14:dataValidation type="list" allowBlank="1" showInputMessage="1" showErrorMessage="1" xr:uid="{00000000-0002-0000-0200-00000A000000}">
          <x14:formula1>
            <xm:f>'Drop Down Options'!$K$56:$K$57</xm:f>
          </x14:formula1>
          <xm:sqref>C31</xm:sqref>
        </x14:dataValidation>
        <x14:dataValidation type="list" allowBlank="1" showInputMessage="1" showErrorMessage="1" xr:uid="{00000000-0002-0000-0200-00000B000000}">
          <x14:formula1>
            <xm:f>'Drop Down Options'!$K$58:$K$59</xm:f>
          </x14:formula1>
          <xm:sqref>C32</xm:sqref>
        </x14:dataValidation>
        <x14:dataValidation type="list" allowBlank="1" showInputMessage="1" showErrorMessage="1" xr:uid="{00000000-0002-0000-0200-00000C000000}">
          <x14:formula1>
            <xm:f>'Drop Down Options'!$K$61:$K$61</xm:f>
          </x14:formula1>
          <xm:sqref>C34</xm:sqref>
        </x14:dataValidation>
        <x14:dataValidation type="list" allowBlank="1" showInputMessage="1" showErrorMessage="1" xr:uid="{00000000-0002-0000-0200-00000D000000}">
          <x14:formula1>
            <xm:f>'Drop Down Options'!$K$60:$K$61</xm:f>
          </x14:formula1>
          <xm:sqref>C33</xm:sqref>
        </x14:dataValidation>
        <x14:dataValidation type="list" allowBlank="1" showInputMessage="1" showErrorMessage="1" xr:uid="{00000000-0002-0000-0200-00000E000000}">
          <x14:formula1>
            <xm:f>'Drop Down Options'!$K$25:$K$26</xm:f>
          </x14:formula1>
          <xm:sqref>C9 C36</xm:sqref>
        </x14:dataValidation>
        <x14:dataValidation type="list" allowBlank="1" showInputMessage="1" showErrorMessage="1" xr:uid="{00000000-0002-0000-0200-00000F000000}">
          <x14:formula1>
            <xm:f>'Drop Down Options'!$K$30:$K$31</xm:f>
          </x14:formula1>
          <xm:sqref>C10 C37</xm:sqref>
        </x14:dataValidation>
        <x14:dataValidation type="list" allowBlank="1" showInputMessage="1" showErrorMessage="1" xr:uid="{00000000-0002-0000-0200-000010000000}">
          <x14:formula1>
            <xm:f>'Drop Down Options'!$K$35:$K$36</xm:f>
          </x14:formula1>
          <xm:sqref>C11:C13 C38:C39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10"/>
  <sheetViews>
    <sheetView zoomScaleNormal="100" workbookViewId="0">
      <selection activeCell="J9" sqref="J9"/>
    </sheetView>
  </sheetViews>
  <sheetFormatPr defaultRowHeight="15"/>
  <cols>
    <col min="8" max="8" width="13.7109375" customWidth="1"/>
    <col min="9" max="9" width="14.7109375" bestFit="1" customWidth="1"/>
    <col min="10" max="10" width="13.7109375" style="2" customWidth="1"/>
    <col min="11" max="11" width="3.7109375" style="4" customWidth="1"/>
    <col min="12" max="12" width="12.7109375" style="2" hidden="1" customWidth="1"/>
    <col min="13" max="13" width="13.140625" style="2" hidden="1" customWidth="1"/>
    <col min="14" max="14" width="28" customWidth="1"/>
    <col min="15" max="18" width="17.85546875" customWidth="1"/>
    <col min="19" max="19" width="9.140625" style="4"/>
    <col min="20" max="20" width="31.28515625" style="4" bestFit="1" customWidth="1"/>
    <col min="21" max="21" width="9.140625" style="4"/>
    <col min="22" max="22" width="10.85546875" style="4" bestFit="1" customWidth="1"/>
    <col min="23" max="24" width="12.7109375" style="4" customWidth="1"/>
    <col min="25" max="29" width="9.140625" style="4"/>
  </cols>
  <sheetData>
    <row r="1" spans="1:20" ht="18.75">
      <c r="A1" s="3" t="s">
        <v>140</v>
      </c>
      <c r="B1" s="4"/>
      <c r="C1" s="4"/>
      <c r="D1" s="4"/>
      <c r="E1" s="4"/>
      <c r="F1" s="4"/>
      <c r="G1" s="4"/>
      <c r="H1" s="4"/>
      <c r="I1" s="4"/>
      <c r="J1" s="5"/>
      <c r="L1" s="22"/>
      <c r="M1" s="5"/>
      <c r="N1" s="4"/>
      <c r="O1" s="4"/>
      <c r="P1" s="4"/>
      <c r="Q1" s="4"/>
      <c r="R1" s="4"/>
    </row>
    <row r="2" spans="1:20" ht="15" customHeight="1">
      <c r="A2" s="4"/>
      <c r="B2" s="4"/>
      <c r="C2" s="4"/>
      <c r="D2" s="4"/>
      <c r="E2" s="4"/>
      <c r="F2" s="4"/>
      <c r="G2" s="4"/>
      <c r="H2" s="4"/>
      <c r="I2" s="4"/>
      <c r="J2" s="5"/>
      <c r="L2" s="5"/>
      <c r="M2" s="5"/>
      <c r="N2" s="4"/>
      <c r="O2" s="4"/>
      <c r="P2" s="4"/>
      <c r="Q2" s="4"/>
      <c r="R2" s="4"/>
    </row>
    <row r="3" spans="1:20">
      <c r="A3" s="7" t="s">
        <v>277</v>
      </c>
      <c r="B3" s="4"/>
      <c r="C3" s="4"/>
      <c r="D3" s="4"/>
      <c r="E3" s="4"/>
      <c r="F3" s="4"/>
      <c r="G3" s="4"/>
      <c r="H3" s="4"/>
      <c r="I3" s="4"/>
      <c r="J3" s="5"/>
      <c r="L3" s="22" t="s">
        <v>141</v>
      </c>
      <c r="M3" s="22" t="s">
        <v>141</v>
      </c>
      <c r="N3" s="4"/>
      <c r="O3" s="4"/>
      <c r="P3" s="4"/>
      <c r="Q3" s="4"/>
      <c r="R3" s="4"/>
    </row>
    <row r="4" spans="1:20" ht="15" customHeight="1">
      <c r="A4" s="4" t="s">
        <v>131</v>
      </c>
      <c r="B4" s="4"/>
      <c r="C4" s="4"/>
      <c r="D4" s="4"/>
      <c r="E4" s="4"/>
      <c r="F4" s="4"/>
      <c r="G4" s="4"/>
      <c r="H4" s="4"/>
      <c r="I4" s="4"/>
      <c r="J4" s="194" t="s">
        <v>5</v>
      </c>
      <c r="L4" s="5" t="s">
        <v>153</v>
      </c>
      <c r="M4" s="5" t="s">
        <v>154</v>
      </c>
      <c r="N4" s="4"/>
      <c r="O4" s="4"/>
      <c r="P4" s="4"/>
      <c r="Q4" s="4"/>
      <c r="R4" s="4"/>
    </row>
    <row r="5" spans="1:20">
      <c r="A5" s="4"/>
      <c r="B5" s="4"/>
      <c r="C5" s="4"/>
      <c r="D5" s="4"/>
      <c r="E5" s="4"/>
      <c r="F5" s="4"/>
      <c r="G5" s="4"/>
      <c r="H5" s="4"/>
      <c r="I5" s="4"/>
      <c r="J5" s="5"/>
      <c r="L5" s="5"/>
      <c r="M5" s="5"/>
      <c r="N5" s="4"/>
      <c r="O5" s="4"/>
      <c r="P5" s="4"/>
      <c r="Q5" s="4"/>
      <c r="R5" s="4"/>
      <c r="T5" s="6"/>
    </row>
    <row r="6" spans="1:20">
      <c r="A6" s="7" t="s">
        <v>323</v>
      </c>
      <c r="B6" s="4"/>
      <c r="C6" s="4"/>
      <c r="D6" s="4"/>
      <c r="E6" s="4"/>
      <c r="F6" s="4"/>
      <c r="G6" s="4"/>
      <c r="H6" s="4"/>
      <c r="I6" s="4"/>
      <c r="J6" s="128"/>
      <c r="L6" s="5"/>
      <c r="M6" s="5"/>
      <c r="N6" s="182" t="s">
        <v>157</v>
      </c>
      <c r="O6" s="8"/>
      <c r="P6" s="8"/>
      <c r="Q6" s="8"/>
      <c r="R6" s="8"/>
    </row>
    <row r="7" spans="1:20">
      <c r="A7" s="4" t="s">
        <v>394</v>
      </c>
      <c r="B7" s="4"/>
      <c r="C7" s="4"/>
      <c r="D7" s="4"/>
      <c r="E7" s="4"/>
      <c r="F7" s="4"/>
      <c r="G7" s="143"/>
      <c r="H7" s="143"/>
      <c r="I7" s="4"/>
      <c r="J7" s="194"/>
      <c r="L7" s="5" t="str">
        <f>IF(AND(OR(J7="Continuous",J7="Intermittent"),$J$4="YES"),VLOOKUP(J7,'Drop Down Options'!$Q$13:$R$14,2,FALSE),"")</f>
        <v/>
      </c>
      <c r="M7" s="5" t="str">
        <f>'2. Post-restoration Likelihood'!$C$46</f>
        <v>LOW</v>
      </c>
      <c r="N7" s="183" t="str">
        <f>IF(J7="NO","Not applicable",IF(AND(M7="VERY LOW",L7="VERY LOW"),"NEGLIGIBLE",IF(AND(M7="VERY LOW",L7="LOW"),"NEGLIGIBLE",IF(AND(M7="VERY LOW",L7="MODERATE"),"NEGLIGIBLE",IF(AND(M7="VERY LOW",L7="HIGH"),"NEGLIGIBLE",IF(AND(M7="VERY LOW",L7="VERY HIGH"),"LOW",IF(AND(M7="LOW",L7="VERY LOW"),"NEGLIGIBLE",IF(AND(M7="LOW",L7="LOW"),"NEGLIGIBLE",IF(AND(M7="LOW",L7="MODERATE"),"LOW",IF(AND(M7="LOW",L7="HIGH"),"LOW",IF(AND(M7="LOW",L7="VERY HIGH"),"LOW",IF(AND(M7="MODERATE",L7="VERY LOW"),"NEGLIGIBLE",IF(AND(M7="MODERATE",L7="LOW"),"LOW",IF(AND(M7="MODERATE",L7="MODERATE"),"LOW",IF(AND(M7="MODERATE",L7="HIGH"),"MEDIUM",IF(AND(M7="MODERATE",L7="VERY HIGH"),"MEDIUM",IF(AND(M7="HIGH",L7="VERY LOW"),"NEGLIGIBLE",IF(AND(M7="HIGH",L7="LOW"),"LOW",IF(AND(M7="HIGH",L7="MODERATE"),"MEDIUM",IF(AND(M7="HIGH",L7="HIGH"),"MEDIUM",IF(AND(M7="HIGH",L7="VERY HIGH"),"HIGH",IF(AND(M7="VERY HIGH",L7="VERY LOW"),"LOW",IF(AND(M7="VERY HIGH",L7="LOW"),"LOW",IF(AND(M7="VERY HIGH",L7="MODERATE"),"MEDIUM",IF(AND(M7="VERY HIGH",L7="HIGH"),"HIGH",IF(AND(M7="VERY HIGH",L7="VERY HIGH"),"HIGH","Not yet calculated"))))))))))))))))))))))))))</f>
        <v>Not yet calculated</v>
      </c>
      <c r="O7" s="5"/>
      <c r="P7" s="5"/>
      <c r="Q7" s="5"/>
      <c r="R7" s="5"/>
    </row>
    <row r="8" spans="1:20">
      <c r="A8" s="4" t="s">
        <v>395</v>
      </c>
      <c r="B8" s="4"/>
      <c r="C8" s="4"/>
      <c r="D8" s="4"/>
      <c r="E8" s="4"/>
      <c r="F8" s="4"/>
      <c r="G8" s="143"/>
      <c r="H8" s="143"/>
      <c r="I8" s="4"/>
      <c r="J8" s="194"/>
      <c r="L8" s="5" t="str">
        <f>IF(AND(J8="YES",$J$4="YES"),VLOOKUP(A8,'Drop Down Options'!$Q$12:$R$18,2,FALSE),"")</f>
        <v/>
      </c>
      <c r="M8" s="5" t="str">
        <f>'2. Post-restoration Likelihood'!$C$46</f>
        <v>LOW</v>
      </c>
      <c r="N8" s="183" t="str">
        <f>IF(J8="","Not yet calculated",IF(AND(M8="VERY LOW",L8="VERY LOW"),"NEGLIGIBLE",IF(AND(M8="VERY LOW",L8="LOW"),"NEGLIGIBLE",IF(AND(M8="VERY LOW",L8="MODERATE"),"NEGLIGIBLE",IF(AND(M8="VERY LOW",L8="HIGH"),"NEGLIGIBLE",IF(AND(M8="VERY LOW",L8="VERY HIGH"),"LOW",IF(AND(M8="LOW",L8="VERY LOW"),"NEGLIGIBLE",IF(AND(M8="LOW",L8="LOW"),"NEGLIGIBLE",IF(AND(M8="LOW",L8="MODERATE"),"LOW",IF(AND(M8="LOW",L8="HIGH"),"LOW",IF(AND(M8="LOW",L8="VERY HIGH"),"LOW",IF(AND(M8="MODERATE",L8="VERY LOW"),"NEGLIGIBLE",IF(AND(M8="MODERATE",L8="LOW"),"LOW",IF(AND(M8="MODERATE",L8="MODERATE"),"LOW",IF(AND(M8="MODERATE",L8="HIGH"),"MEDIUM",IF(AND(M8="MODERATE",L8="VERY HIGH"),"MEDIUM",IF(AND(M8="HIGH",L8="VERY LOW"),"NEGLIGIBLE",IF(AND(M8="HIGH",L8="LOW"),"LOW",IF(AND(M8="HIGH",L8="MODERATE"),"MEDIUM",IF(AND(M8="HIGH",L8="HIGH"),"MEDIUM",IF(AND(M8="HIGH",L8="VERY HIGH"),"HIGH",IF(AND(M8="VERY HIGH",L8="VERY LOW"),"LOW",IF(AND(M8="VERY HIGH",L8="LOW"),"LOW",IF(AND(M8="VERY HIGH",L8="MODERATE"),"MEDIUM",IF(AND(M8="VERY HIGH",L8="HIGH"),"HIGH",IF(AND(M8="VERY HIGH",L8="VERY HIGH"),"HIGH","Not applicable"))))))))))))))))))))))))))</f>
        <v>Not yet calculated</v>
      </c>
      <c r="O8" s="5"/>
      <c r="P8" s="5"/>
      <c r="Q8" s="5"/>
      <c r="R8" s="5"/>
    </row>
    <row r="9" spans="1:20">
      <c r="A9" s="4" t="s">
        <v>396</v>
      </c>
      <c r="B9" s="4"/>
      <c r="C9" s="4"/>
      <c r="D9" s="4"/>
      <c r="E9" s="4"/>
      <c r="F9" s="4"/>
      <c r="G9" s="143"/>
      <c r="H9" s="143"/>
      <c r="I9" s="4"/>
      <c r="J9" s="194"/>
      <c r="L9" s="5" t="str">
        <f>IF(AND(J9="YES",$J$4="YES"),"HIGH","")</f>
        <v/>
      </c>
      <c r="M9" s="5" t="str">
        <f>'2. Post-restoration Likelihood'!$C$46</f>
        <v>LOW</v>
      </c>
      <c r="N9" s="183" t="str">
        <f>IF(J4="No","Not applicable",IF(J9="YES","Go to next question", IF(J9="NO","Not applicable","Not yet calculated")))</f>
        <v>Not yet calculated</v>
      </c>
      <c r="O9" s="2"/>
      <c r="P9" s="5"/>
      <c r="Q9" s="5"/>
      <c r="R9" s="5"/>
    </row>
    <row r="10" spans="1:20" ht="15" customHeight="1">
      <c r="A10" s="244" t="s">
        <v>401</v>
      </c>
      <c r="B10" s="244"/>
      <c r="C10" s="244"/>
      <c r="D10" s="244"/>
      <c r="E10" s="244"/>
      <c r="F10" s="244"/>
      <c r="G10" s="244"/>
      <c r="H10" s="244"/>
      <c r="I10" s="244"/>
      <c r="J10" s="194"/>
      <c r="L10" s="5" t="str">
        <f>IF(AND(J10="YES",$J$4="YES",J9="YES"),'Drop Down Options'!$R$18,IF(AND(J10="NO",$J$4="YES",J9="YES"),'Drop Down Options'!$R$19,""))</f>
        <v/>
      </c>
      <c r="M10" s="5" t="str">
        <f>'2. Post-restoration Likelihood'!$C$46</f>
        <v>LOW</v>
      </c>
      <c r="N10" s="183" t="str">
        <f>IF(J9="","Not applicable",IF(J9="No","Not applicable",IF(J10="","Not yet calculated",IF(AND(M10="VERY LOW",L10="VERY LOW"),"NEGLIGIBLE",IF(AND(M10="VERY LOW",L10="LOW"),"NEGLIGIBLE",IF(AND(M10="VERY LOW",L10="MODERATE"),"NEGLIGIBLE",IF(AND(M10="VERY LOW",L10="HIGH"),"NEGLIGIBLE",IF(AND(M10="VERY LOW",L10="VERY HIGH"),"LOW",IF(AND(M10="LOW",L10="VERY LOW"),"NEGLIGIBLE",IF(AND(M10="LOW",L10="LOW"),"NEGLIGIBLE",IF(AND(M10="LOW",L10="MODERATE"),"LOW",IF(AND(M10="LOW",L10="HIGH"),"LOW",IF(AND(M10="LOW",L10="VERY HIGH"),"LOW",IF(AND(M10="MODERATE",L10="VERY LOW"),"NEGLIGIBLE",IF(AND(M10="MODERATE",L10="LOW"),"LOW",IF(AND(M10="MODERATE",L10="MODERATE"),"LOW",IF(AND(M10="MODERATE",L10="HIGH"),"MEDIUM",IF(AND(M10="MODERATE",L10="VERY HIGH"),"MEDIUM",IF(AND(M10="HIGH",L10="VERY LOW"),"NEGLIGIBLE",IF(AND(M10="HIGH",L10="LOW"),"LOW",IF(AND(M10="HIGH",L10="MODERATE"),"MEDIUM",IF(AND(M10="HIGH",L10="HIGH"),"MEDIUM",IF(AND(M10="HIGH",L10="VERY HIGH"),"HIGH",IF(AND(M10="VERY HIGH",L10="VERY LOW"),"LOW",IF(AND(M10="VERY HIGH",L10="LOW"),"LOW",IF(AND(M10="VERY HIGH",L10="MODERATE"),"MEDIUM",IF(AND(M10="VERY HIGH",L10="HIGH"),"HIGH",IF(AND(M10="VERY HIGH",L10="VERY HIGH"),"HIGH","Not applicable"))))))))))))))))))))))))))))</f>
        <v>Not applicable</v>
      </c>
      <c r="O10" s="5"/>
      <c r="P10" s="5"/>
      <c r="Q10" s="5"/>
      <c r="R10" s="5"/>
    </row>
    <row r="11" spans="1:20">
      <c r="A11" s="244"/>
      <c r="B11" s="244"/>
      <c r="C11" s="244"/>
      <c r="D11" s="244"/>
      <c r="E11" s="244"/>
      <c r="F11" s="244"/>
      <c r="G11" s="244"/>
      <c r="H11" s="244"/>
      <c r="I11" s="244"/>
      <c r="L11" s="5"/>
      <c r="M11" s="5"/>
      <c r="N11" s="184"/>
      <c r="O11" s="5"/>
      <c r="P11" s="5"/>
      <c r="Q11" s="5"/>
      <c r="R11" s="5"/>
      <c r="T11" s="6"/>
    </row>
    <row r="12" spans="1:20">
      <c r="A12" s="4"/>
      <c r="B12" s="4"/>
      <c r="C12" s="4"/>
      <c r="D12" s="4"/>
      <c r="E12" s="4"/>
      <c r="F12" s="4"/>
      <c r="G12" s="4"/>
      <c r="H12" s="4"/>
      <c r="I12" s="4"/>
      <c r="J12" s="5"/>
      <c r="L12" s="5"/>
      <c r="M12" s="5"/>
      <c r="N12" s="184"/>
      <c r="O12" s="5"/>
      <c r="P12" s="5"/>
      <c r="Q12" s="5"/>
      <c r="R12" s="5"/>
    </row>
    <row r="13" spans="1:20">
      <c r="A13" s="7" t="s">
        <v>133</v>
      </c>
      <c r="B13" s="4"/>
      <c r="C13" s="4"/>
      <c r="D13" s="4"/>
      <c r="E13" s="4"/>
      <c r="F13" s="4"/>
      <c r="G13" s="4"/>
      <c r="H13" s="4"/>
      <c r="I13" s="4"/>
      <c r="J13" s="5"/>
      <c r="L13" s="5"/>
      <c r="M13" s="5"/>
      <c r="N13" s="184"/>
      <c r="O13" s="5"/>
      <c r="P13" s="5"/>
      <c r="Q13" s="5"/>
      <c r="R13" s="5"/>
    </row>
    <row r="14" spans="1:20">
      <c r="A14" s="245" t="s">
        <v>134</v>
      </c>
      <c r="B14" s="245"/>
      <c r="C14" s="245"/>
      <c r="D14" s="245"/>
      <c r="E14" s="245"/>
      <c r="F14" s="245"/>
      <c r="G14" s="245"/>
      <c r="H14" s="245"/>
      <c r="I14" s="246"/>
      <c r="J14" s="194"/>
      <c r="L14" s="5" t="str">
        <f>IF(J14="YES",VLOOKUP(A14,'Drop Down Options'!$Q$20:$R$21,2,FALSE),"")</f>
        <v/>
      </c>
      <c r="M14" s="5" t="str">
        <f>'2. Post-restoration Likelihood'!$C$46</f>
        <v>LOW</v>
      </c>
      <c r="N14" s="183" t="str">
        <f>IF(J14="","Not yet calculated",IF(AND(M14="VERY LOW",L14="VERY LOW"),"NEGLIGIBLE",IF(AND(M14="VERY LOW",L14="LOW"),"NEGLIGIBLE",IF(AND(M14="VERY LOW",L14="MODERATE"),"NEGLIGIBLE",IF(AND(M14="VERY LOW",L14="HIGH"),"NEGLIGIBLE",IF(AND(M14="VERY LOW",L14="VERY HIGH"),"LOW",IF(AND(M14="LOW",L14="VERY LOW"),"NEGLIGIBLE",IF(AND(M14="LOW",L14="LOW"),"NEGLIGIBLE",IF(AND(M14="LOW",L14="MODERATE"),"LOW",IF(AND(M14="LOW",L14="HIGH"),"LOW",IF(AND(M14="LOW",L14="VERY HIGH"),"LOW",IF(AND(M14="MODERATE",L14="VERY LOW"),"NEGLIGIBLE",IF(AND(M14="MODERATE",L14="LOW"),"LOW",IF(AND(M14="MODERATE",L14="MODERATE"),"LOW",IF(AND(M14="MODERATE",L14="HIGH"),"MEDIUM",IF(AND(M14="MODERATE",L14="VERY HIGH"),"MEDIUM",IF(AND(M14="HIGH",L14="VERY LOW"),"NEGLIGIBLE",IF(AND(M14="HIGH",L14="LOW"),"LOW",IF(AND(M14="HIGH",L14="MODERATE"),"MEDIUM",IF(AND(M14="HIGH",L14="HIGH"),"MEDIUM",IF(AND(M14="HIGH",L14="VERY HIGH"),"HIGH",IF(AND(M14="VERY HIGH",L14="VERY LOW"),"LOW",IF(AND(M14="VERY HIGH",L14="LOW"),"LOW",IF(AND(M14="VERY HIGH",L14="MODERATE"),"MEDIUM",IF(AND(M14="VERY HIGH",L14="HIGH"),"HIGH",IF(AND(M14="VERY HIGH",L14="VERY HIGH"),"HIGH","Not applicable"))))))))))))))))))))))))))</f>
        <v>Not yet calculated</v>
      </c>
      <c r="O14" s="5"/>
      <c r="P14" s="5"/>
      <c r="Q14" s="5"/>
      <c r="R14" s="5"/>
    </row>
    <row r="15" spans="1:20" ht="15" customHeight="1">
      <c r="A15" s="245" t="s">
        <v>397</v>
      </c>
      <c r="B15" s="245"/>
      <c r="C15" s="245"/>
      <c r="D15" s="245"/>
      <c r="E15" s="245"/>
      <c r="F15" s="245"/>
      <c r="G15" s="245"/>
      <c r="H15" s="245"/>
      <c r="I15" s="246"/>
      <c r="J15" s="194"/>
      <c r="L15" s="5" t="str">
        <f>IF(J15="YES","HIGH","")</f>
        <v/>
      </c>
      <c r="M15" s="5" t="str">
        <f>'2. Post-restoration Likelihood'!$C$46</f>
        <v>LOW</v>
      </c>
      <c r="N15" s="183" t="str">
        <f>IF(J15="YES","Go to next question",IF(J15="NO","Not applicable","Not yet calculated"))</f>
        <v>Not yet calculated</v>
      </c>
      <c r="O15" s="2"/>
      <c r="P15" s="5"/>
      <c r="Q15" s="5"/>
      <c r="R15" s="5"/>
    </row>
    <row r="16" spans="1:20">
      <c r="A16" s="247" t="s">
        <v>398</v>
      </c>
      <c r="B16" s="247"/>
      <c r="C16" s="247"/>
      <c r="D16" s="247"/>
      <c r="E16" s="247"/>
      <c r="F16" s="247"/>
      <c r="G16" s="247"/>
      <c r="H16" s="247"/>
      <c r="I16" s="247"/>
      <c r="J16" s="194"/>
      <c r="L16" s="5" t="str">
        <f>IF(AND(J16="YES",J15="YES"),'Drop Down Options'!$R$18,IF(AND(J16="NO",J15="YES"),'Drop Down Options'!$R$19,""))</f>
        <v/>
      </c>
      <c r="M16" s="5" t="str">
        <f>'2. Post-restoration Likelihood'!$C$46</f>
        <v>LOW</v>
      </c>
      <c r="N16" s="183" t="str">
        <f>IF(J16="","Not yet calculated",IF(J15="","Not yet calculated",IF(AND(M16="VERY LOW",L16="VERY LOW"),"NEGLIGIBLE",IF(AND(M16="VERY LOW",L16="LOW"),"NEGLIGIBLE",IF(AND(M16="VERY LOW",L16="MODERATE"),"NEGLIGIBLE",IF(AND(M16="VERY LOW",L16="HIGH"),"NEGLIGIBLE",IF(AND(M16="VERY LOW",L16="VERY HIGH"),"LOW",IF(AND(M16="LOW",L16="VERY LOW"),"NEGLIGIBLE",IF(AND(M16="LOW",L16="LOW"),"NEGLIGIBLE",IF(AND(M16="LOW",L16="MODERATE"),"LOW",IF(AND(M16="LOW",L16="HIGH"),"LOW",IF(AND(M16="LOW",L16="VERY HIGH"),"LOW",IF(AND(M16="MODERATE",L16="VERY LOW"),"NEGLIGIBLE",IF(AND(M16="MODERATE",L16="LOW"),"LOW",IF(AND(M16="MODERATE",L16="MODERATE"),"LOW",IF(AND(M16="MODERATE",L16="HIGH"),"MEDIUM",IF(AND(M16="MODERATE",L16="VERY HIGH"),"MEDIUM",IF(AND(M16="HIGH",L16="VERY LOW"),"NEGLIGIBLE",IF(AND(M16="HIGH",L16="LOW"),"LOW",IF(AND(M16="HIGH",L16="MODERATE"),"MEDIUM",IF(AND(M16="HIGH",L16="HIGH"),"MEDIUM",IF(AND(M16="HIGH",L16="VERY HIGH"),"HIGH",IF(AND(M16="VERY HIGH",L16="VERY LOW"),"LOW",IF(AND(M16="VERY HIGH",L16="LOW"),"LOW",IF(AND(M16="VERY HIGH",L16="MODERATE"),"MEDIUM",IF(AND(M16="VERY HIGH",L16="HIGH"),"HIGH",IF(AND(M16="VERY HIGH",L16="VERY HIGH"),"HIGH","Not applicable")))))))))))))))))))))))))))</f>
        <v>Not yet calculated</v>
      </c>
      <c r="O16" s="5"/>
      <c r="P16" s="5"/>
      <c r="Q16" s="5"/>
      <c r="R16" s="5"/>
    </row>
    <row r="17" spans="1:20">
      <c r="A17" s="247"/>
      <c r="B17" s="247"/>
      <c r="C17" s="247"/>
      <c r="D17" s="247"/>
      <c r="E17" s="247"/>
      <c r="F17" s="247"/>
      <c r="G17" s="247"/>
      <c r="H17" s="247"/>
      <c r="I17" s="247"/>
      <c r="J17" s="5"/>
      <c r="L17" s="5"/>
      <c r="M17" s="5"/>
      <c r="N17" s="184"/>
      <c r="O17" s="5"/>
      <c r="P17" s="5"/>
      <c r="Q17" s="5"/>
      <c r="R17" s="5"/>
    </row>
    <row r="18" spans="1:20">
      <c r="A18" s="148"/>
      <c r="B18" s="148"/>
      <c r="C18" s="148"/>
      <c r="D18" s="148"/>
      <c r="E18" s="148"/>
      <c r="F18" s="148"/>
      <c r="G18" s="148"/>
      <c r="H18" s="148"/>
      <c r="I18" s="148"/>
      <c r="J18" s="5"/>
      <c r="L18" s="5"/>
      <c r="M18" s="5"/>
      <c r="N18" s="184"/>
      <c r="O18" s="5"/>
      <c r="P18" s="5"/>
      <c r="Q18" s="5"/>
      <c r="R18" s="5"/>
    </row>
    <row r="19" spans="1:20">
      <c r="A19" s="7" t="s">
        <v>373</v>
      </c>
      <c r="B19" s="4"/>
      <c r="C19" s="4"/>
      <c r="D19" s="4"/>
      <c r="E19" s="4"/>
      <c r="F19" s="4"/>
      <c r="G19" s="4"/>
      <c r="H19" s="4"/>
      <c r="I19" s="4"/>
      <c r="J19" s="5"/>
      <c r="L19" s="5"/>
      <c r="M19" s="5"/>
      <c r="N19" s="184"/>
      <c r="O19" s="5"/>
      <c r="P19" s="5"/>
      <c r="Q19" s="5"/>
      <c r="R19" s="5"/>
    </row>
    <row r="20" spans="1:20">
      <c r="A20" s="4" t="s">
        <v>403</v>
      </c>
      <c r="B20" s="4"/>
      <c r="C20" s="4"/>
      <c r="D20" s="4"/>
      <c r="E20" s="4"/>
      <c r="F20" s="4"/>
      <c r="G20" s="4"/>
      <c r="H20" s="4"/>
      <c r="I20" s="4"/>
      <c r="J20" s="194"/>
      <c r="L20" s="5" t="str">
        <f>IF(J20="YES","LOW","")</f>
        <v/>
      </c>
      <c r="M20" s="5" t="str">
        <f>'2. Post-restoration Likelihood'!$C$46</f>
        <v>LOW</v>
      </c>
      <c r="N20" s="183" t="str">
        <f>(IF(J20="YES","Go to next question",IF(J20="NO","Not applicable","Not yet calculated")))</f>
        <v>Not yet calculated</v>
      </c>
      <c r="O20" s="2"/>
      <c r="P20" s="5"/>
      <c r="Q20" s="5"/>
      <c r="R20" s="5"/>
    </row>
    <row r="21" spans="1:20">
      <c r="A21" s="242" t="s">
        <v>393</v>
      </c>
      <c r="B21" s="242"/>
      <c r="C21" s="242"/>
      <c r="D21" s="242"/>
      <c r="E21" s="242"/>
      <c r="F21" s="242"/>
      <c r="G21" s="242"/>
      <c r="H21" s="242"/>
      <c r="I21" s="243"/>
      <c r="J21" s="194"/>
      <c r="L21" s="5" t="str">
        <f>IF(AND(J21="YES",J20="YES"),'Drop Down Options'!$R$26,IF(AND(J21="NO",J20="YES"),"VERY LOW",""))</f>
        <v/>
      </c>
      <c r="M21" s="5" t="str">
        <f>'2. Post-restoration Likelihood'!$C$46</f>
        <v>LOW</v>
      </c>
      <c r="N21" s="183" t="str">
        <f t="shared" ref="N21" si="0">IF(J21="","Not yet calculated",IF(J20="","Not yet calculated",IF(AND(M21="VERY LOW",L21="VERY LOW"),"NEGLIGIBLE",IF(AND(M21="VERY LOW",L21="LOW"),"NEGLIGIBLE",IF(AND(M21="VERY LOW",L21="MODERATE"),"NEGLIGIBLE",IF(AND(M21="VERY LOW",L21="HIGH"),"NEGLIGIBLE",IF(AND(M21="VERY LOW",L21="VERY HIGH"),"LOW",IF(AND(M21="LOW",L21="VERY LOW"),"NEGLIGIBLE",IF(AND(M21="LOW",L21="LOW"),"NEGLIGIBLE",IF(AND(M21="LOW",L21="MODERATE"),"LOW",IF(AND(M21="LOW",L21="HIGH"),"LOW",IF(AND(M21="LOW",L21="VERY HIGH"),"LOW",IF(AND(M21="MODERATE",L21="VERY LOW"),"NEGLIGIBLE",IF(AND(M21="MODERATE",L21="LOW"),"LOW",IF(AND(M21="MODERATE",L21="MODERATE"),"LOW",IF(AND(M21="MODERATE",L21="HIGH"),"MEDIUM",IF(AND(M21="MODERATE",L21="VERY HIGH"),"MEDIUM",IF(AND(M21="HIGH",L21="VERY LOW"),"NEGLIGIBLE",IF(AND(M21="HIGH",L21="LOW"),"LOW",IF(AND(M21="HIGH",L21="MODERATE"),"MEDIUM",IF(AND(M21="HIGH",L21="HIGH"),"MEDIUM",IF(AND(M21="HIGH",L21="VERY HIGH"),"HIGH",IF(AND(M21="VERY HIGH",L21="VERY LOW"),"LOW",IF(AND(M21="VERY HIGH",L21="LOW"),"LOW",IF(AND(M21="VERY HIGH",L21="MODERATE"),"MEDIUM",IF(AND(M21="VERY HIGH",L21="HIGH"),"HIGH",IF(AND(M21="VERY HIGH",L21="VERY HIGH"),"HIGH","Not applicable")))))))))))))))))))))))))))</f>
        <v>Not yet calculated</v>
      </c>
      <c r="O21" s="5"/>
      <c r="P21" s="5"/>
      <c r="Q21" s="5"/>
      <c r="R21" s="5"/>
    </row>
    <row r="22" spans="1:20">
      <c r="A22" s="242" t="s">
        <v>437</v>
      </c>
      <c r="B22" s="242"/>
      <c r="C22" s="242"/>
      <c r="D22" s="242"/>
      <c r="E22" s="242"/>
      <c r="F22" s="242"/>
      <c r="G22" s="242"/>
      <c r="H22" s="242"/>
      <c r="I22" s="243"/>
      <c r="J22" s="194"/>
      <c r="L22" s="5" t="str">
        <f>IF(AND(J22="YES",J20="YES"),'Drop Down Options'!$R$27,IF(AND(J22="NO",J20="YES"),"VERY LOW",""))</f>
        <v/>
      </c>
      <c r="M22" s="5" t="str">
        <f>'2. Post-restoration Likelihood'!$C$46</f>
        <v>LOW</v>
      </c>
      <c r="N22" s="183" t="str">
        <f>IF(J22="","Not yet calculated",IF(J20="","Not yet calculated",IF(AND(M22="VERY LOW",L22="VERY LOW"),"NEGLIGIBLE",IF(AND(M22="VERY LOW",L22="LOW"),"NEGLIGIBLE",IF(AND(M22="VERY LOW",L22="MODERATE"),"NEGLIGIBLE",IF(AND(M22="VERY LOW",L22="HIGH"),"NEGLIGIBLE",IF(AND(M22="VERY LOW",L22="VERY HIGH"),"LOW",IF(AND(M22="LOW",L22="VERY LOW"),"NEGLIGIBLE",IF(AND(M22="LOW",L22="LOW"),"NEGLIGIBLE",IF(AND(M22="LOW",L22="MODERATE"),"LOW",IF(AND(M22="LOW",L22="HIGH"),"LOW",IF(AND(M22="LOW",L22="VERY HIGH"),"LOW",IF(AND(M22="MODERATE",L22="VERY LOW"),"NEGLIGIBLE",IF(AND(M22="MODERATE",L22="LOW"),"LOW",IF(AND(M22="MODERATE",L22="MODERATE"),"LOW",IF(AND(M22="MODERATE",L22="HIGH"),"MEDIUM",IF(AND(M22="MODERATE",L22="VERY HIGH"),"MEDIUM",IF(AND(M22="HIGH",L22="VERY LOW"),"NEGLIGIBLE",IF(AND(M22="HIGH",L22="LOW"),"LOW",IF(AND(M22="HIGH",L22="MODERATE"),"MEDIUM",IF(AND(M22="HIGH",L22="HIGH"),"MEDIUM",IF(AND(M22="HIGH",L22="VERY HIGH"),"HIGH",IF(AND(M22="VERY HIGH",L22="VERY LOW"),"LOW",IF(AND(M22="VERY HIGH",L22="LOW"),"LOW",IF(AND(M22="VERY HIGH",L22="MODERATE"),"MEDIUM",IF(AND(M22="VERY HIGH",L22="HIGH"),"HIGH",IF(AND(M22="VERY HIGH",L22="VERY HIGH"),"HIGH","Not applicable")))))))))))))))))))))))))))</f>
        <v>Not yet calculated</v>
      </c>
      <c r="O22" s="5"/>
      <c r="P22" s="5"/>
      <c r="Q22" s="5"/>
      <c r="R22" s="5"/>
    </row>
    <row r="23" spans="1:20">
      <c r="A23" s="4" t="s">
        <v>402</v>
      </c>
      <c r="B23" s="4"/>
      <c r="C23" s="4"/>
      <c r="D23" s="4"/>
      <c r="E23" s="4"/>
      <c r="F23" s="4"/>
      <c r="G23" s="4"/>
      <c r="H23" s="4"/>
      <c r="I23" s="4"/>
      <c r="J23" s="194"/>
      <c r="L23" s="5" t="str">
        <f>IF(J23="YES",VLOOKUP(A23,'Drop Down Options'!$Q$26:$R$29,2,FALSE),"")</f>
        <v/>
      </c>
      <c r="M23" s="5" t="str">
        <f>'2. Post-restoration Likelihood'!$C$46</f>
        <v>LOW</v>
      </c>
      <c r="N23" s="183" t="str">
        <f>IF(J23="No","Not applicable",IF(AND(M23="VERY LOW",L23="VERY LOW"),"NEGLIGIBLE",IF(AND(M23="VERY LOW",L23="LOW"),"NEGLIGIBLE",IF(AND(M23="VERY LOW",L23="MODERATE"),"NEGLIGIBLE",IF(AND(M23="VERY LOW",L23="HIGH"),"NEGLIGIBLE",IF(AND(M23="VERY LOW",L23="VERY HIGH"),"LOW",IF(AND(M23="LOW",L23="VERY LOW"),"NEGLIGIBLE",IF(AND(M23="LOW",L23="LOW"),"NEGLIGIBLE",IF(AND(M23="LOW",L23="MODERATE"),"LOW",IF(AND(M23="LOW",L23="HIGH"),"LOW",IF(AND(M23="LOW",L23="VERY HIGH"),"LOW",IF(AND(M23="MODERATE",L23="VERY LOW"),"NEGLIGIBLE",IF(AND(M23="MODERATE",L23="LOW"),"LOW",IF(AND(M23="MODERATE",L23="MODERATE"),"LOW",IF(AND(M23="MODERATE",L23="HIGH"),"MEDIUM",IF(AND(M23="MODERATE",L23="VERY HIGH"),"MEDIUM",IF(AND(M23="HIGH",L23="VERY LOW"),"NEGLIGIBLE",IF(AND(M23="HIGH",L23="LOW"),"LOW",IF(AND(M23="HIGH",L23="MODERATE"),"MEDIUM",IF(AND(M23="HIGH",L23="HIGH"),"MEDIUM",IF(AND(M23="HIGH",L23="VERY HIGH"),"HIGH",IF(AND(M23="VERY HIGH",L23="VERY LOW"),"LOW",IF(AND(M23="VERY HIGH",L23="LOW"),"LOW",IF(AND(M23="VERY HIGH",L23="MODERATE"),"MEDIUM",IF(AND(M23="VERY HIGH",L23="HIGH"),"HIGH",IF(AND(M23="VERY HIGH",L23="VERY HIGH"),"HIGH","Not yet calculated"))))))))))))))))))))))))))</f>
        <v>Not yet calculated</v>
      </c>
      <c r="O23" s="5"/>
      <c r="P23" s="5"/>
      <c r="Q23" s="5"/>
      <c r="R23" s="5"/>
    </row>
    <row r="24" spans="1:20">
      <c r="A24" s="4" t="s">
        <v>370</v>
      </c>
      <c r="B24" s="4"/>
      <c r="C24" s="4"/>
      <c r="D24" s="4"/>
      <c r="E24" s="4"/>
      <c r="F24" s="4"/>
      <c r="G24" s="4"/>
      <c r="H24" s="4"/>
      <c r="I24" s="4"/>
      <c r="J24" s="194"/>
      <c r="L24" s="5" t="str">
        <f>IF(J24="YES",VLOOKUP(A24,'Drop Down Options'!$Q$26:$R$29,2,FALSE),"")</f>
        <v/>
      </c>
      <c r="M24" s="5" t="str">
        <f>'2. Post-restoration Likelihood'!$C$46</f>
        <v>LOW</v>
      </c>
      <c r="N24" s="183" t="str">
        <f t="shared" ref="N24:N25" si="1">IF(J24="No","Not applicable",IF(AND(M24="VERY LOW",L24="VERY LOW"),"NEGLIGIBLE",IF(AND(M24="VERY LOW",L24="LOW"),"NEGLIGIBLE",IF(AND(M24="VERY LOW",L24="MODERATE"),"NEGLIGIBLE",IF(AND(M24="VERY LOW",L24="HIGH"),"NEGLIGIBLE",IF(AND(M24="VERY LOW",L24="VERY HIGH"),"LOW",IF(AND(M24="LOW",L24="VERY LOW"),"NEGLIGIBLE",IF(AND(M24="LOW",L24="LOW"),"NEGLIGIBLE",IF(AND(M24="LOW",L24="MODERATE"),"LOW",IF(AND(M24="LOW",L24="HIGH"),"LOW",IF(AND(M24="LOW",L24="VERY HIGH"),"LOW",IF(AND(M24="MODERATE",L24="VERY LOW"),"NEGLIGIBLE",IF(AND(M24="MODERATE",L24="LOW"),"LOW",IF(AND(M24="MODERATE",L24="MODERATE"),"LOW",IF(AND(M24="MODERATE",L24="HIGH"),"MEDIUM",IF(AND(M24="MODERATE",L24="VERY HIGH"),"MEDIUM",IF(AND(M24="HIGH",L24="VERY LOW"),"NEGLIGIBLE",IF(AND(M24="HIGH",L24="LOW"),"LOW",IF(AND(M24="HIGH",L24="MODERATE"),"MEDIUM",IF(AND(M24="HIGH",L24="HIGH"),"MEDIUM",IF(AND(M24="HIGH",L24="VERY HIGH"),"HIGH",IF(AND(M24="VERY HIGH",L24="VERY LOW"),"LOW",IF(AND(M24="VERY HIGH",L24="LOW"),"LOW",IF(AND(M24="VERY HIGH",L24="MODERATE"),"MEDIUM",IF(AND(M24="VERY HIGH",L24="HIGH"),"HIGH",IF(AND(M24="VERY HIGH",L24="VERY HIGH"),"HIGH","Not yet calculated"))))))))))))))))))))))))))</f>
        <v>Not yet calculated</v>
      </c>
      <c r="O24" s="5"/>
      <c r="P24" s="5"/>
      <c r="Q24" s="5"/>
      <c r="R24" s="5"/>
    </row>
    <row r="25" spans="1:20">
      <c r="A25" s="4" t="s">
        <v>371</v>
      </c>
      <c r="B25" s="4"/>
      <c r="C25" s="4"/>
      <c r="D25" s="4"/>
      <c r="E25" s="4"/>
      <c r="F25" s="4"/>
      <c r="G25" s="4"/>
      <c r="H25" s="4"/>
      <c r="I25" s="4"/>
      <c r="J25" s="194"/>
      <c r="L25" s="5" t="str">
        <f>IF(J25="YES",VLOOKUP(A25,'Drop Down Options'!$Q$26:$R$29,2,FALSE),"")</f>
        <v/>
      </c>
      <c r="M25" s="5" t="str">
        <f>'2. Post-restoration Likelihood'!$C$46</f>
        <v>LOW</v>
      </c>
      <c r="N25" s="183" t="str">
        <f t="shared" si="1"/>
        <v>Not yet calculated</v>
      </c>
      <c r="O25" s="5"/>
      <c r="P25" s="5"/>
      <c r="Q25" s="5"/>
      <c r="R25" s="5"/>
      <c r="T25" s="6"/>
    </row>
    <row r="26" spans="1:20">
      <c r="A26" s="4"/>
      <c r="B26" s="4"/>
      <c r="C26" s="4"/>
      <c r="D26" s="4"/>
      <c r="E26" s="4"/>
      <c r="F26" s="4"/>
      <c r="G26" s="4"/>
      <c r="H26" s="4"/>
      <c r="I26" s="4"/>
      <c r="J26" s="5"/>
      <c r="L26" s="5"/>
      <c r="M26" s="5"/>
      <c r="N26" s="184"/>
      <c r="O26" s="5"/>
      <c r="P26" s="5"/>
      <c r="Q26" s="5"/>
      <c r="R26" s="5"/>
    </row>
    <row r="27" spans="1:20">
      <c r="A27" s="7" t="s">
        <v>382</v>
      </c>
      <c r="B27" s="4"/>
      <c r="C27" s="4"/>
      <c r="D27" s="4"/>
      <c r="E27" s="4"/>
      <c r="F27" s="4"/>
      <c r="G27" s="4"/>
      <c r="H27" s="4"/>
      <c r="I27" s="4"/>
      <c r="J27" s="5"/>
      <c r="L27" s="5"/>
      <c r="M27" s="5"/>
      <c r="N27" s="184"/>
      <c r="O27" s="5"/>
      <c r="P27" s="5"/>
      <c r="Q27" s="5"/>
      <c r="R27" s="5"/>
    </row>
    <row r="28" spans="1:20">
      <c r="A28" s="4" t="s">
        <v>322</v>
      </c>
      <c r="B28" s="4"/>
      <c r="C28" s="4"/>
      <c r="D28" s="4"/>
      <c r="E28" s="4"/>
      <c r="F28" s="4"/>
      <c r="G28" s="4"/>
      <c r="H28" s="4"/>
      <c r="I28" s="4"/>
      <c r="J28" s="194"/>
      <c r="L28" s="5" t="str">
        <f>IF(J28="YES","HIGH","")</f>
        <v/>
      </c>
      <c r="M28" s="5" t="str">
        <f>'2. Post-restoration Likelihood'!$C$46</f>
        <v>LOW</v>
      </c>
      <c r="N28" s="183" t="str">
        <f>IF(J28="YES","Go to next question", IF(J28="NO","Not applicable","Not yet calculated"))</f>
        <v>Not yet calculated</v>
      </c>
      <c r="O28" s="2"/>
      <c r="P28" s="5"/>
      <c r="Q28" s="5"/>
      <c r="R28" s="5"/>
    </row>
    <row r="29" spans="1:20">
      <c r="A29" s="242" t="s">
        <v>380</v>
      </c>
      <c r="B29" s="242"/>
      <c r="C29" s="242"/>
      <c r="D29" s="242"/>
      <c r="E29" s="242"/>
      <c r="F29" s="242"/>
      <c r="G29" s="242"/>
      <c r="H29" s="242"/>
      <c r="I29" s="243"/>
      <c r="J29" s="194"/>
      <c r="L29" s="5" t="str">
        <f>IF(AND(J29="YES",J28="YES"),"HIGH",IF(AND(J29="NO",J28="YES"),"MODERATE",IF(J28="NO","","HIGH")))</f>
        <v>HIGH</v>
      </c>
      <c r="M29" s="5" t="str">
        <f>'2. Post-restoration Likelihood'!$C$46</f>
        <v>LOW</v>
      </c>
      <c r="N29" s="183" t="str">
        <f>IF(J28="","Not applicable",IF(J28="No","Not applicable",IF(J29="","Not yet calculated",IF(AND(M29="VERY LOW",L29="VERY LOW"),"NEGLIGIBLE",IF(AND(M29="VERY LOW",L29="LOW"),"NEGLIGIBLE",IF(AND(M29="VERY LOW",L29="MODERATE"),"NEGLIGIBLE",IF(AND(M29="VERY LOW",L29="HIGH"),"NEGLIGIBLE",IF(AND(M29="VERY LOW",L29="VERY HIGH"),"LOW",IF(AND(M29="LOW",L29="VERY LOW"),"NEGLIGIBLE",IF(AND(M29="LOW",L29="LOW"),"NEGLIGIBLE",IF(AND(M29="LOW",L29="MODERATE"),"LOW",IF(AND(M29="LOW",L29="HIGH"),"LOW",IF(AND(M29="LOW",L29="VERY HIGH"),"LOW",IF(AND(M29="MODERATE",L29="VERY LOW"),"NEGLIGIBLE",IF(AND(M29="MODERATE",L29="LOW"),"LOW",IF(AND(M29="MODERATE",L29="MODERATE"),"LOW",IF(AND(M29="MODERATE",L29="HIGH"),"MEDIUM",IF(AND(M29="MODERATE",L29="VERY HIGH"),"MEDIUM",IF(AND(M29="HIGH",L29="VERY LOW"),"NEGLIGIBLE",IF(AND(M29="HIGH",L29="LOW"),"LOW",IF(AND(M29="HIGH",L29="MODERATE"),"MEDIUM",IF(AND(M29="HIGH",L29="HIGH"),"MEDIUM",IF(AND(M29="HIGH",L29="VERY HIGH"),"HIGH",IF(AND(M29="VERY HIGH",L29="VERY LOW"),"LOW",IF(AND(M29="VERY HIGH",L29="LOW"),"LOW",IF(AND(M29="VERY HIGH",L29="MODERATE"),"MEDIUM",IF(AND(M29="VERY HIGH",L29="HIGH"),"HIGH",IF(AND(M29="VERY HIGH",L29="VERY HIGH"),"HIGH","Not applicable"))))))))))))))))))))))))))))</f>
        <v>Not applicable</v>
      </c>
      <c r="O29" s="5"/>
      <c r="P29" s="5"/>
      <c r="Q29" s="5"/>
      <c r="R29" s="5"/>
    </row>
    <row r="30" spans="1:20">
      <c r="A30" s="4" t="s">
        <v>321</v>
      </c>
      <c r="B30" s="4"/>
      <c r="C30" s="4"/>
      <c r="D30" s="4"/>
      <c r="E30" s="4"/>
      <c r="F30" s="4"/>
      <c r="G30" s="4"/>
      <c r="H30" s="4"/>
      <c r="I30" s="4"/>
      <c r="J30" s="194"/>
      <c r="L30" s="5" t="str">
        <f>IF(J30="YES",VLOOKUP(A30,'Drop Down Options'!$Q$34:$R$36,2,FALSE),"")</f>
        <v/>
      </c>
      <c r="M30" s="5" t="str">
        <f>'2. Post-restoration Likelihood'!$C$46</f>
        <v>LOW</v>
      </c>
      <c r="N30" s="183" t="str">
        <f>IF(J30="","Not yet calculated",IF(AND(M30="VERY LOW",L30="VERY LOW"),"NEGLIGIBLE",IF(AND(M30="VERY LOW",L30="LOW"),"NEGLIGIBLE",IF(AND(M30="VERY LOW",L30="MODERATE"),"NEGLIGIBLE",IF(AND(M30="VERY LOW",L30="HIGH"),"NEGLIGIBLE",IF(AND(M30="VERY LOW",L30="VERY HIGH"),"LOW",IF(AND(M30="LOW",L30="VERY LOW"),"NEGLIGIBLE",IF(AND(M30="LOW",L30="LOW"),"NEGLIGIBLE",IF(AND(M30="LOW",L30="MODERATE"),"LOW",IF(AND(M30="LOW",L30="HIGH"),"LOW",IF(AND(M30="LOW",L30="VERY HIGH"),"LOW",IF(AND(M30="MODERATE",L30="VERY LOW"),"NEGLIGIBLE",IF(AND(M30="MODERATE",L30="LOW"),"LOW",IF(AND(M30="MODERATE",L30="MODERATE"),"LOW",IF(AND(M30="MODERATE",L30="HIGH"),"MEDIUM",IF(AND(M30="MODERATE",L30="VERY HIGH"),"MEDIUM",IF(AND(M30="HIGH",L30="VERY LOW"),"NEGLIGIBLE",IF(AND(M30="HIGH",L30="LOW"),"LOW",IF(AND(M30="HIGH",L30="MODERATE"),"MEDIUM",IF(AND(M30="HIGH",L30="HIGH"),"MEDIUM",IF(AND(M30="HIGH",L30="VERY HIGH"),"HIGH",IF(AND(M30="VERY HIGH",L30="VERY LOW"),"LOW",IF(AND(M30="VERY HIGH",L30="LOW"),"LOW",IF(AND(M30="VERY HIGH",L30="MODERATE"),"MEDIUM",IF(AND(M30="VERY HIGH",L30="HIGH"),"HIGH",IF(AND(M30="VERY HIGH",L30="VERY HIGH"),"HIGH","Not applicable"))))))))))))))))))))))))))</f>
        <v>Not yet calculated</v>
      </c>
      <c r="O30" s="5"/>
      <c r="P30" s="5"/>
      <c r="Q30" s="5"/>
      <c r="R30" s="5"/>
    </row>
    <row r="31" spans="1:20">
      <c r="A31" s="4" t="s">
        <v>135</v>
      </c>
      <c r="B31" s="4"/>
      <c r="C31" s="4"/>
      <c r="D31" s="4"/>
      <c r="E31" s="4"/>
      <c r="F31" s="4"/>
      <c r="G31" s="4"/>
      <c r="H31" s="4"/>
      <c r="I31" s="4"/>
      <c r="J31" s="194"/>
      <c r="L31" s="5" t="str">
        <f>IF(J31="YES",VLOOKUP(A31,'Drop Down Options'!$Q$34:$R$36,2,FALSE),"")</f>
        <v/>
      </c>
      <c r="M31" s="5" t="str">
        <f>'2. Post-restoration Likelihood'!$C$46</f>
        <v>LOW</v>
      </c>
      <c r="N31" s="183" t="str">
        <f>IF(J31="","Not yet calculated",IF(AND(M31="VERY LOW",L31="VERY LOW"),"NEGLIGIBLE",IF(AND(M31="VERY LOW",L31="LOW"),"NEGLIGIBLE",IF(AND(M31="VERY LOW",L31="MODERATE"),"NEGLIGIBLE",IF(AND(M31="VERY LOW",L31="HIGH"),"NEGLIGIBLE",IF(AND(M31="VERY LOW",L31="VERY HIGH"),"LOW",IF(AND(M31="LOW",L31="VERY LOW"),"NEGLIGIBLE",IF(AND(M31="LOW",L31="LOW"),"NEGLIGIBLE",IF(AND(M31="LOW",L31="MODERATE"),"LOW",IF(AND(M31="LOW",L31="HIGH"),"LOW",IF(AND(M31="LOW",L31="VERY HIGH"),"LOW",IF(AND(M31="MODERATE",L31="VERY LOW"),"NEGLIGIBLE",IF(AND(M31="MODERATE",L31="LOW"),"LOW",IF(AND(M31="MODERATE",L31="MODERATE"),"LOW",IF(AND(M31="MODERATE",L31="HIGH"),"MEDIUM",IF(AND(M31="MODERATE",L31="VERY HIGH"),"MEDIUM",IF(AND(M31="HIGH",L31="VERY LOW"),"NEGLIGIBLE",IF(AND(M31="HIGH",L31="LOW"),"LOW",IF(AND(M31="HIGH",L31="MODERATE"),"MEDIUM",IF(AND(M31="HIGH",L31="HIGH"),"MEDIUM",IF(AND(M31="HIGH",L31="VERY HIGH"),"HIGH",IF(AND(M31="VERY HIGH",L31="VERY LOW"),"LOW",IF(AND(M31="VERY HIGH",L31="LOW"),"LOW",IF(AND(M31="VERY HIGH",L31="MODERATE"),"MEDIUM",IF(AND(M31="VERY HIGH",L31="HIGH"),"HIGH",IF(AND(M31="VERY HIGH",L31="VERY HIGH"),"HIGH","Not applicable"))))))))))))))))))))))))))</f>
        <v>Not yet calculated</v>
      </c>
      <c r="O31" s="5"/>
      <c r="P31" s="5"/>
      <c r="Q31" s="5"/>
      <c r="R31" s="5"/>
    </row>
    <row r="32" spans="1:20">
      <c r="A32" s="4"/>
      <c r="B32" s="4"/>
      <c r="C32" s="4"/>
      <c r="D32" s="4"/>
      <c r="E32" s="4"/>
      <c r="F32" s="4"/>
      <c r="G32" s="4"/>
      <c r="H32" s="4"/>
      <c r="I32" s="4"/>
      <c r="J32" s="5"/>
      <c r="L32" s="5"/>
      <c r="M32" s="5"/>
      <c r="N32" s="184"/>
      <c r="O32" s="5"/>
      <c r="P32" s="5"/>
      <c r="Q32" s="5"/>
      <c r="R32" s="5"/>
    </row>
    <row r="33" spans="1:20">
      <c r="A33" s="7" t="s">
        <v>381</v>
      </c>
      <c r="B33" s="4"/>
      <c r="C33" s="4"/>
      <c r="D33" s="4"/>
      <c r="E33" s="4"/>
      <c r="F33" s="4"/>
      <c r="G33" s="4"/>
      <c r="H33" s="4"/>
      <c r="I33" s="4"/>
      <c r="J33" s="5"/>
      <c r="L33" s="5"/>
      <c r="M33" s="5"/>
      <c r="N33" s="184"/>
      <c r="O33" s="5"/>
      <c r="P33" s="5"/>
      <c r="Q33" s="5"/>
      <c r="R33" s="5"/>
      <c r="T33" s="6"/>
    </row>
    <row r="34" spans="1:20">
      <c r="A34" s="4" t="s">
        <v>137</v>
      </c>
      <c r="B34" s="4"/>
      <c r="C34" s="4"/>
      <c r="D34" s="4"/>
      <c r="E34" s="4"/>
      <c r="F34" s="4"/>
      <c r="G34" s="4"/>
      <c r="H34" s="4"/>
      <c r="I34" s="4"/>
      <c r="J34" s="194"/>
      <c r="L34" s="5" t="str">
        <f>IF(J34="YES",VLOOKUP(A34,'Drop Down Options'!$Q$41:$R$45,2,FALSE),"")</f>
        <v/>
      </c>
      <c r="M34" s="5" t="str">
        <f>'2. Post-restoration Likelihood'!$C$46</f>
        <v>LOW</v>
      </c>
      <c r="N34" s="183" t="str">
        <f t="shared" ref="N34:N38" si="2">IF(J34="","Not yet calculated",IF(AND(M34="VERY LOW",L34="VERY LOW"),"NEGLIGIBLE",IF(AND(M34="VERY LOW",L34="LOW"),"NEGLIGIBLE",IF(AND(M34="VERY LOW",L34="MODERATE"),"NEGLIGIBLE",IF(AND(M34="VERY LOW",L34="HIGH"),"NEGLIGIBLE",IF(AND(M34="VERY LOW",L34="VERY HIGH"),"LOW",IF(AND(M34="LOW",L34="VERY LOW"),"NEGLIGIBLE",IF(AND(M34="LOW",L34="LOW"),"NEGLIGIBLE",IF(AND(M34="LOW",L34="MODERATE"),"LOW",IF(AND(M34="LOW",L34="HIGH"),"LOW",IF(AND(M34="LOW",L34="VERY HIGH"),"LOW",IF(AND(M34="MODERATE",L34="VERY LOW"),"NEGLIGIBLE",IF(AND(M34="MODERATE",L34="LOW"),"LOW",IF(AND(M34="MODERATE",L34="MODERATE"),"LOW",IF(AND(M34="MODERATE",L34="HIGH"),"MEDIUM",IF(AND(M34="MODERATE",L34="VERY HIGH"),"MEDIUM",IF(AND(M34="HIGH",L34="VERY LOW"),"NEGLIGIBLE",IF(AND(M34="HIGH",L34="LOW"),"LOW",IF(AND(M34="HIGH",L34="MODERATE"),"MEDIUM",IF(AND(M34="HIGH",L34="HIGH"),"MEDIUM",IF(AND(M34="HIGH",L34="VERY HIGH"),"HIGH",IF(AND(M34="VERY HIGH",L34="VERY LOW"),"LOW",IF(AND(M34="VERY HIGH",L34="LOW"),"LOW",IF(AND(M34="VERY HIGH",L34="MODERATE"),"MEDIUM",IF(AND(M34="VERY HIGH",L34="HIGH"),"HIGH",IF(AND(M34="VERY HIGH",L34="VERY HIGH"),"HIGH","Not applicable"))))))))))))))))))))))))))</f>
        <v>Not yet calculated</v>
      </c>
      <c r="O34" s="5"/>
      <c r="P34" s="5"/>
      <c r="Q34" s="5"/>
      <c r="R34" s="5"/>
    </row>
    <row r="35" spans="1:20">
      <c r="A35" s="4" t="s">
        <v>138</v>
      </c>
      <c r="B35" s="4"/>
      <c r="C35" s="4"/>
      <c r="D35" s="4"/>
      <c r="E35" s="4"/>
      <c r="F35" s="4"/>
      <c r="G35" s="4"/>
      <c r="H35" s="4"/>
      <c r="I35" s="4"/>
      <c r="J35" s="194"/>
      <c r="L35" s="5" t="str">
        <f>IF(J35="YES",VLOOKUP(A35,'Drop Down Options'!$Q$41:$R$45,2,FALSE),"")</f>
        <v/>
      </c>
      <c r="M35" s="5" t="str">
        <f>'2. Post-restoration Likelihood'!$C$46</f>
        <v>LOW</v>
      </c>
      <c r="N35" s="183" t="str">
        <f t="shared" si="2"/>
        <v>Not yet calculated</v>
      </c>
      <c r="O35" s="5"/>
      <c r="P35" s="5"/>
      <c r="Q35" s="5"/>
      <c r="R35" s="5"/>
    </row>
    <row r="36" spans="1:20">
      <c r="A36" s="4" t="s">
        <v>139</v>
      </c>
      <c r="B36" s="4"/>
      <c r="C36" s="4"/>
      <c r="D36" s="4"/>
      <c r="E36" s="4"/>
      <c r="F36" s="4"/>
      <c r="G36" s="4"/>
      <c r="H36" s="4"/>
      <c r="I36" s="4"/>
      <c r="J36" s="194"/>
      <c r="L36" s="5" t="str">
        <f>IF(J36="YES",VLOOKUP(A36,'Drop Down Options'!$Q$41:$R$45,2,FALSE),"")</f>
        <v/>
      </c>
      <c r="M36" s="5" t="str">
        <f>'2. Post-restoration Likelihood'!$C$46</f>
        <v>LOW</v>
      </c>
      <c r="N36" s="183" t="str">
        <f t="shared" si="2"/>
        <v>Not yet calculated</v>
      </c>
      <c r="O36" s="5"/>
      <c r="P36" s="5"/>
      <c r="Q36" s="144"/>
      <c r="R36" s="5"/>
    </row>
    <row r="37" spans="1:20">
      <c r="A37" s="4" t="s">
        <v>326</v>
      </c>
      <c r="B37" s="4"/>
      <c r="C37" s="4"/>
      <c r="D37" s="4"/>
      <c r="E37" s="4"/>
      <c r="F37" s="4"/>
      <c r="G37" s="4"/>
      <c r="H37" s="4"/>
      <c r="I37" s="4"/>
      <c r="J37" s="194"/>
      <c r="L37" s="5" t="str">
        <f>IF(J37="YES",VLOOKUP(A37,'Drop Down Options'!$Q$41:$R$45,2,FALSE),"")</f>
        <v/>
      </c>
      <c r="M37" s="5" t="str">
        <f>'2. Post-restoration Likelihood'!$C$46</f>
        <v>LOW</v>
      </c>
      <c r="N37" s="183" t="str">
        <f t="shared" si="2"/>
        <v>Not yet calculated</v>
      </c>
      <c r="O37" s="5"/>
      <c r="P37" s="5"/>
      <c r="Q37" s="5"/>
      <c r="R37" s="5"/>
    </row>
    <row r="38" spans="1:20">
      <c r="A38" s="4" t="s">
        <v>353</v>
      </c>
      <c r="B38" s="4"/>
      <c r="C38" s="4"/>
      <c r="D38" s="4"/>
      <c r="E38" s="4"/>
      <c r="F38" s="4"/>
      <c r="G38" s="4"/>
      <c r="H38" s="4"/>
      <c r="I38" s="4"/>
      <c r="J38" s="194"/>
      <c r="L38" s="5" t="str">
        <f>IF(J38="YES",VLOOKUP(A38,'Drop Down Options'!$Q$41:$R$45,2,FALSE),"")</f>
        <v/>
      </c>
      <c r="M38" s="5" t="str">
        <f>'2. Post-restoration Likelihood'!$C$46</f>
        <v>LOW</v>
      </c>
      <c r="N38" s="183" t="str">
        <f t="shared" si="2"/>
        <v>Not yet calculated</v>
      </c>
      <c r="O38" s="5"/>
      <c r="P38" s="5"/>
      <c r="Q38" s="5"/>
      <c r="R38" s="5"/>
    </row>
    <row r="39" spans="1:20">
      <c r="A39" s="4" t="s">
        <v>438</v>
      </c>
      <c r="B39" s="4"/>
      <c r="C39" s="4"/>
      <c r="D39" s="4"/>
      <c r="E39" s="4"/>
      <c r="F39" s="4"/>
      <c r="G39" s="4"/>
      <c r="H39" s="4"/>
      <c r="I39" s="4"/>
      <c r="J39" s="194"/>
      <c r="L39" s="5" t="str">
        <f>IF(J39="YES",VLOOKUP(A39,'Drop Down Options'!$Q$41:$R$46,2,FALSE),"")</f>
        <v/>
      </c>
      <c r="M39" s="5" t="str">
        <f>'2. Post-restoration Likelihood'!$C$46</f>
        <v>LOW</v>
      </c>
      <c r="N39" s="183" t="str">
        <f>IF(J39="","Not yet calculated",IF(AND(M39="VERY LOW",L39="VERY LOW"),"NEGLIGIBLE",IF(AND(M39="VERY LOW",L39="LOW"),"NEGLIGIBLE",IF(AND(M39="VERY LOW",L39="MODERATE"),"NEGLIGIBLE",IF(AND(M39="VERY LOW",L39="HIGH"),"NEGLIGIBLE",IF(AND(M39="VERY LOW",L39="VERY HIGH"),"LOW",IF(AND(M39="LOW",L39="VERY LOW"),"NEGLIGIBLE",IF(AND(M39="LOW",L39="LOW"),"NEGLIGIBLE",IF(AND(M39="LOW",L39="MODERATE"),"LOW",IF(AND(M39="LOW",L39="HIGH"),"LOW",IF(AND(M39="LOW",L39="VERY HIGH"),"LOW",IF(AND(M39="MODERATE",L39="VERY LOW"),"NEGLIGIBLE",IF(AND(M39="MODERATE",L39="LOW"),"LOW",IF(AND(M39="MODERATE",L39="MODERATE"),"LOW",IF(AND(M39="MODERATE",L39="HIGH"),"MEDIUM",IF(AND(M39="MODERATE",L39="VERY HIGH"),"MEDIUM",IF(AND(M39="HIGH",L39="VERY LOW"),"NEGLIGIBLE",IF(AND(M39="HIGH",L39="LOW"),"LOW",IF(AND(M39="HIGH",L39="MODERATE"),"MEDIUM",IF(AND(M39="HIGH",L39="HIGH"),"MEDIUM",IF(AND(M39="HIGH",L39="VERY HIGH"),"HIGH",IF(AND(M39="VERY HIGH",L39="VERY LOW"),"LOW",IF(AND(M39="VERY HIGH",L39="LOW"),"LOW",IF(AND(M39="VERY HIGH",L39="MODERATE"),"MEDIUM",IF(AND(M39="VERY HIGH",L39="HIGH"),"HIGH",IF(AND(M39="VERY HIGH",L39="VERY HIGH"),"HIGH","Not applicable"))))))))))))))))))))))))))</f>
        <v>Not yet calculated</v>
      </c>
      <c r="O39" s="2"/>
      <c r="P39" s="5"/>
      <c r="Q39" s="5"/>
      <c r="R39" s="5"/>
    </row>
    <row r="40" spans="1:20">
      <c r="A40" s="4"/>
      <c r="B40" s="4"/>
      <c r="C40" s="4"/>
      <c r="D40" s="4"/>
      <c r="E40" s="4"/>
      <c r="F40" s="4"/>
      <c r="G40" s="4"/>
      <c r="H40" s="4"/>
      <c r="I40" s="4"/>
      <c r="J40" s="4"/>
      <c r="L40" s="5"/>
      <c r="M40" s="5"/>
      <c r="N40" s="184"/>
      <c r="O40" s="5"/>
      <c r="P40" s="5"/>
      <c r="Q40" s="5"/>
      <c r="R40" s="5"/>
    </row>
    <row r="41" spans="1:20">
      <c r="A41" s="7" t="s">
        <v>383</v>
      </c>
      <c r="B41" s="4"/>
      <c r="C41" s="4"/>
      <c r="D41" s="4"/>
      <c r="E41" s="4"/>
      <c r="F41" s="4"/>
      <c r="G41" s="4"/>
      <c r="H41" s="4"/>
      <c r="I41" s="4"/>
      <c r="J41" s="5"/>
      <c r="L41" s="5"/>
      <c r="M41" s="5"/>
      <c r="N41" s="184"/>
      <c r="O41" s="5"/>
      <c r="P41" s="5"/>
      <c r="Q41" s="5"/>
      <c r="R41" s="5"/>
    </row>
    <row r="42" spans="1:20">
      <c r="A42" s="4" t="s">
        <v>374</v>
      </c>
      <c r="B42" s="4"/>
      <c r="C42" s="4"/>
      <c r="D42" s="4"/>
      <c r="E42" s="4"/>
      <c r="F42" s="4"/>
      <c r="G42" s="4"/>
      <c r="H42" s="4"/>
      <c r="I42" s="4"/>
      <c r="J42" s="194"/>
      <c r="L42" s="5" t="str">
        <f>IF(J42="YES",VLOOKUP(A42,'Drop Down Options'!$Q$50:$R$51,2,FALSE),"")</f>
        <v/>
      </c>
      <c r="M42" s="5" t="str">
        <f>'2. Post-restoration Likelihood'!$C$46</f>
        <v>LOW</v>
      </c>
      <c r="N42" s="183" t="str">
        <f t="shared" ref="N42:N43" si="3">IF(J42="","Not yet calculated",IF(AND(M42="VERY LOW",L42="VERY LOW"),"NEGLIGIBLE",IF(AND(M42="VERY LOW",L42="LOW"),"NEGLIGIBLE",IF(AND(M42="VERY LOW",L42="MODERATE"),"NEGLIGIBLE",IF(AND(M42="VERY LOW",L42="HIGH"),"NEGLIGIBLE",IF(AND(M42="VERY LOW",L42="VERY HIGH"),"LOW",IF(AND(M42="LOW",L42="VERY LOW"),"NEGLIGIBLE",IF(AND(M42="LOW",L42="LOW"),"NEGLIGIBLE",IF(AND(M42="LOW",L42="MODERATE"),"LOW",IF(AND(M42="LOW",L42="HIGH"),"LOW",IF(AND(M42="LOW",L42="VERY HIGH"),"LOW",IF(AND(M42="MODERATE",L42="VERY LOW"),"NEGLIGIBLE",IF(AND(M42="MODERATE",L42="LOW"),"LOW",IF(AND(M42="MODERATE",L42="MODERATE"),"LOW",IF(AND(M42="MODERATE",L42="HIGH"),"MEDIUM",IF(AND(M42="MODERATE",L42="VERY HIGH"),"MEDIUM",IF(AND(M42="HIGH",L42="VERY LOW"),"NEGLIGIBLE",IF(AND(M42="HIGH",L42="LOW"),"LOW",IF(AND(M42="HIGH",L42="MODERATE"),"MEDIUM",IF(AND(M42="HIGH",L42="HIGH"),"MEDIUM",IF(AND(M42="HIGH",L42="VERY HIGH"),"HIGH",IF(AND(M42="VERY HIGH",L42="VERY LOW"),"LOW",IF(AND(M42="VERY HIGH",L42="LOW"),"LOW",IF(AND(M42="VERY HIGH",L42="MODERATE"),"MEDIUM",IF(AND(M42="VERY HIGH",L42="HIGH"),"HIGH",IF(AND(M42="VERY HIGH",L42="VERY HIGH"),"HIGH","Not applicable"))))))))))))))))))))))))))</f>
        <v>Not yet calculated</v>
      </c>
      <c r="O42" s="5"/>
      <c r="P42" s="5"/>
      <c r="Q42" s="5"/>
      <c r="R42" s="5"/>
    </row>
    <row r="43" spans="1:20">
      <c r="A43" s="4" t="s">
        <v>375</v>
      </c>
      <c r="B43" s="4"/>
      <c r="C43" s="4"/>
      <c r="D43" s="4"/>
      <c r="E43" s="4"/>
      <c r="F43" s="4"/>
      <c r="G43" s="4"/>
      <c r="H43" s="4"/>
      <c r="I43" s="4"/>
      <c r="J43" s="194"/>
      <c r="L43" s="5" t="str">
        <f>IF(J43="YES",VLOOKUP(A43,'Drop Down Options'!$Q$50:$R$51,2,FALSE),"")</f>
        <v/>
      </c>
      <c r="M43" s="5" t="str">
        <f>'2. Post-restoration Likelihood'!$C$46</f>
        <v>LOW</v>
      </c>
      <c r="N43" s="183" t="str">
        <f t="shared" si="3"/>
        <v>Not yet calculated</v>
      </c>
      <c r="O43" s="5"/>
      <c r="P43" s="5"/>
      <c r="Q43" s="4"/>
      <c r="R43" s="4"/>
    </row>
    <row r="44" spans="1:20">
      <c r="A44" s="4"/>
      <c r="B44" s="4"/>
      <c r="C44" s="4"/>
      <c r="D44" s="4"/>
      <c r="E44" s="4"/>
      <c r="F44" s="4"/>
      <c r="G44" s="4"/>
      <c r="H44" s="4"/>
      <c r="I44" s="4"/>
      <c r="J44" s="5"/>
      <c r="L44" s="5"/>
      <c r="M44" s="5"/>
      <c r="N44" s="184"/>
      <c r="O44" s="5"/>
      <c r="P44" s="4"/>
      <c r="Q44" s="4"/>
      <c r="R44" s="4"/>
    </row>
    <row r="45" spans="1:20">
      <c r="A45" s="4" t="s">
        <v>433</v>
      </c>
      <c r="B45" s="4"/>
      <c r="C45" s="4"/>
      <c r="D45" s="4"/>
      <c r="E45" s="4"/>
      <c r="F45" s="4"/>
      <c r="G45" s="4"/>
      <c r="H45" s="4"/>
      <c r="I45" s="4"/>
      <c r="J45" s="5"/>
      <c r="L45" s="5"/>
      <c r="M45" s="5"/>
      <c r="N45" s="183" t="str">
        <f>IF(COUNTIF($N$7:$N$43,"Not yet calculated")&gt;0,"Please answer all questions",IF(COUNTIF($N$7:$N$43,"HIGH")&gt;0,"HIGH",IF(COUNTIF($N$7:$N$43,"MEDIUM")&gt;0,"MEDIUM",IF(COUNTIF($N$7:$N$43,"LOW")&gt;0,"LOW","NEGLIGIBLE"))))</f>
        <v>Please answer all questions</v>
      </c>
      <c r="O45" s="4"/>
      <c r="P45" s="4"/>
      <c r="Q45" s="4"/>
      <c r="R45" s="4"/>
    </row>
    <row r="46" spans="1:20">
      <c r="A46" s="4"/>
      <c r="B46" s="4"/>
      <c r="C46" s="4"/>
      <c r="D46" s="4"/>
      <c r="E46" s="4"/>
      <c r="F46" s="4"/>
      <c r="G46" s="4"/>
      <c r="H46" s="4"/>
      <c r="I46" s="4"/>
      <c r="J46" s="5"/>
      <c r="L46" s="5"/>
      <c r="M46" s="5"/>
      <c r="N46" s="4"/>
      <c r="O46" s="4"/>
      <c r="P46" s="4"/>
      <c r="Q46" s="4"/>
      <c r="R46" s="4"/>
    </row>
    <row r="47" spans="1:20">
      <c r="A47" s="185" t="str">
        <f>IF(N45="Please answer all questions","",VLOOKUP(N45,'Drop Down Options'!P61:Q64,2,FALSE))</f>
        <v/>
      </c>
      <c r="B47" s="186"/>
      <c r="C47" s="186"/>
      <c r="D47" s="186"/>
      <c r="E47" s="186"/>
      <c r="F47" s="186"/>
      <c r="G47" s="186"/>
      <c r="H47" s="186"/>
      <c r="I47" s="186"/>
      <c r="J47" s="187"/>
      <c r="K47" s="186"/>
      <c r="L47" s="184"/>
      <c r="M47" s="184"/>
      <c r="N47" s="178"/>
      <c r="O47" s="178"/>
      <c r="P47" s="4"/>
      <c r="Q47" s="4"/>
      <c r="R47" s="4"/>
    </row>
    <row r="48" spans="1:20">
      <c r="A48" s="186"/>
      <c r="B48" s="186"/>
      <c r="C48" s="186"/>
      <c r="D48" s="186"/>
      <c r="E48" s="186"/>
      <c r="F48" s="186"/>
      <c r="G48" s="186"/>
      <c r="H48" s="186"/>
      <c r="I48" s="186"/>
      <c r="J48" s="187"/>
      <c r="K48" s="186"/>
      <c r="L48" s="184"/>
      <c r="M48" s="184"/>
      <c r="N48" s="178"/>
      <c r="O48" s="188"/>
      <c r="P48" s="4"/>
      <c r="Q48" s="4"/>
      <c r="R48" s="4"/>
    </row>
    <row r="49" spans="1:18" ht="15" customHeight="1">
      <c r="A49" s="241" t="str">
        <f>IF(N45="Please answer all questions","",IF(N45="NEGLIGIBLE","",IF(N45="LOW","",VLOOKUP(N45,'Drop Down Options'!P67:Q68,2,FALSE))))</f>
        <v/>
      </c>
      <c r="B49" s="241"/>
      <c r="C49" s="241"/>
      <c r="D49" s="241"/>
      <c r="E49" s="241"/>
      <c r="F49" s="241"/>
      <c r="G49" s="241"/>
      <c r="H49" s="241"/>
      <c r="I49" s="241"/>
      <c r="J49" s="241"/>
      <c r="K49" s="241"/>
      <c r="L49" s="241"/>
      <c r="M49" s="241"/>
      <c r="N49" s="241"/>
      <c r="O49" s="241"/>
      <c r="P49" s="4"/>
      <c r="Q49" s="4"/>
      <c r="R49" s="4"/>
    </row>
    <row r="50" spans="1:18">
      <c r="A50" s="241"/>
      <c r="B50" s="241"/>
      <c r="C50" s="241"/>
      <c r="D50" s="241"/>
      <c r="E50" s="241"/>
      <c r="F50" s="241"/>
      <c r="G50" s="241"/>
      <c r="H50" s="241"/>
      <c r="I50" s="241"/>
      <c r="J50" s="241"/>
      <c r="K50" s="241"/>
      <c r="L50" s="241"/>
      <c r="M50" s="241"/>
      <c r="N50" s="241"/>
      <c r="O50" s="241"/>
      <c r="P50" s="4"/>
      <c r="Q50" s="4"/>
      <c r="R50" s="4"/>
    </row>
    <row r="51" spans="1:18">
      <c r="A51" s="188"/>
      <c r="B51" s="188"/>
      <c r="C51" s="188"/>
      <c r="D51" s="188"/>
      <c r="E51" s="188"/>
      <c r="F51" s="188"/>
      <c r="G51" s="188"/>
      <c r="H51" s="188"/>
      <c r="I51" s="188"/>
      <c r="J51" s="188"/>
      <c r="K51" s="188"/>
      <c r="L51" s="188"/>
      <c r="M51" s="188"/>
      <c r="N51" s="188"/>
      <c r="O51" s="178"/>
      <c r="P51" s="4"/>
      <c r="Q51" s="4"/>
      <c r="R51" s="4"/>
    </row>
    <row r="52" spans="1:18">
      <c r="A52" s="178"/>
      <c r="B52" s="178"/>
      <c r="C52" s="178"/>
      <c r="D52" s="178"/>
      <c r="E52" s="178"/>
      <c r="F52" s="178"/>
      <c r="G52" s="178"/>
      <c r="H52" s="178"/>
      <c r="I52" s="178"/>
      <c r="J52" s="184"/>
      <c r="K52" s="178"/>
      <c r="L52" s="184"/>
      <c r="M52" s="184"/>
      <c r="N52" s="178"/>
      <c r="O52" s="178"/>
      <c r="P52" s="4"/>
      <c r="Q52" s="4"/>
      <c r="R52" s="4"/>
    </row>
    <row r="53" spans="1:18">
      <c r="A53" s="178"/>
      <c r="B53" s="178"/>
      <c r="C53" s="178"/>
      <c r="D53" s="178"/>
      <c r="E53" s="178"/>
      <c r="F53" s="178"/>
      <c r="G53" s="178"/>
      <c r="H53" s="178"/>
      <c r="I53" s="178"/>
      <c r="J53" s="184"/>
      <c r="K53" s="178"/>
      <c r="L53" s="184"/>
      <c r="M53" s="184"/>
      <c r="N53" s="178"/>
      <c r="O53" s="178"/>
      <c r="P53" s="4"/>
      <c r="Q53" s="4"/>
      <c r="R53" s="4"/>
    </row>
    <row r="54" spans="1:18">
      <c r="A54" s="4"/>
      <c r="B54" s="4"/>
      <c r="C54" s="4"/>
      <c r="D54" s="4"/>
      <c r="E54" s="4"/>
      <c r="F54" s="4"/>
      <c r="G54" s="4"/>
      <c r="H54" s="4"/>
      <c r="I54" s="4"/>
      <c r="J54" s="5"/>
      <c r="L54" s="5"/>
      <c r="M54" s="5"/>
      <c r="N54" s="4"/>
      <c r="O54" s="4"/>
      <c r="P54" s="4"/>
      <c r="Q54" s="4"/>
      <c r="R54" s="4"/>
    </row>
    <row r="55" spans="1:18">
      <c r="A55" s="4"/>
      <c r="B55" s="4"/>
      <c r="C55" s="4"/>
      <c r="D55" s="4"/>
      <c r="E55" s="4"/>
      <c r="F55" s="4"/>
      <c r="G55" s="4"/>
      <c r="H55" s="4"/>
      <c r="I55" s="4"/>
      <c r="J55" s="5"/>
      <c r="L55" s="5"/>
      <c r="M55" s="5"/>
      <c r="N55" s="4"/>
      <c r="O55" s="4"/>
      <c r="P55" s="4"/>
      <c r="Q55" s="4"/>
      <c r="R55" s="4"/>
    </row>
    <row r="56" spans="1:18">
      <c r="A56" s="4"/>
      <c r="B56" s="4"/>
      <c r="C56" s="4"/>
      <c r="D56" s="4"/>
      <c r="E56" s="4"/>
      <c r="F56" s="4"/>
      <c r="G56" s="4"/>
      <c r="H56" s="4"/>
      <c r="I56" s="4"/>
      <c r="J56" s="5"/>
      <c r="L56" s="5"/>
      <c r="M56" s="5"/>
      <c r="N56" s="4"/>
      <c r="O56" s="4"/>
      <c r="P56" s="4"/>
      <c r="Q56" s="4"/>
      <c r="R56" s="4"/>
    </row>
    <row r="57" spans="1:18">
      <c r="A57" s="4"/>
      <c r="B57" s="4"/>
      <c r="C57" s="4"/>
      <c r="D57" s="4"/>
      <c r="E57" s="4"/>
      <c r="F57" s="4"/>
      <c r="G57" s="4"/>
      <c r="H57" s="4"/>
      <c r="I57" s="4"/>
      <c r="J57" s="5"/>
      <c r="L57" s="5"/>
      <c r="M57" s="5"/>
      <c r="N57" s="4"/>
      <c r="O57" s="4"/>
      <c r="P57" s="4"/>
      <c r="Q57" s="4"/>
      <c r="R57" s="4"/>
    </row>
    <row r="58" spans="1:18">
      <c r="A58" s="4"/>
      <c r="B58" s="4"/>
      <c r="C58" s="4"/>
      <c r="D58" s="4"/>
      <c r="E58" s="4"/>
      <c r="F58" s="4"/>
      <c r="G58" s="4"/>
      <c r="H58" s="4"/>
      <c r="I58" s="4"/>
      <c r="J58" s="5"/>
      <c r="L58" s="5"/>
      <c r="M58" s="5"/>
      <c r="N58" s="4"/>
      <c r="O58" s="4"/>
      <c r="P58" s="4"/>
      <c r="Q58" s="4"/>
      <c r="R58" s="4"/>
    </row>
    <row r="59" spans="1:18">
      <c r="A59" s="4"/>
      <c r="B59" s="4"/>
      <c r="C59" s="4"/>
      <c r="D59" s="4"/>
      <c r="E59" s="4"/>
      <c r="F59" s="4"/>
      <c r="G59" s="4"/>
      <c r="H59" s="4"/>
      <c r="I59" s="4"/>
      <c r="J59" s="5"/>
      <c r="L59" s="5"/>
      <c r="M59" s="5"/>
      <c r="N59" s="4"/>
      <c r="O59" s="4"/>
      <c r="P59" s="4"/>
      <c r="Q59" s="4"/>
      <c r="R59" s="4"/>
    </row>
    <row r="60" spans="1:18">
      <c r="A60" s="4"/>
      <c r="B60" s="4"/>
      <c r="C60" s="4"/>
      <c r="D60" s="4"/>
      <c r="E60" s="4"/>
      <c r="F60" s="4"/>
      <c r="G60" s="4"/>
      <c r="H60" s="4"/>
      <c r="I60" s="4"/>
      <c r="J60" s="5"/>
      <c r="L60" s="5"/>
      <c r="M60" s="5"/>
      <c r="N60" s="4"/>
      <c r="O60" s="4"/>
      <c r="P60" s="4"/>
      <c r="Q60" s="4"/>
      <c r="R60" s="4"/>
    </row>
    <row r="61" spans="1:18">
      <c r="A61" s="4"/>
      <c r="B61" s="4"/>
      <c r="C61" s="4"/>
      <c r="D61" s="4"/>
      <c r="E61" s="4"/>
      <c r="F61" s="4"/>
      <c r="G61" s="4"/>
      <c r="H61" s="4"/>
      <c r="I61" s="4"/>
      <c r="J61" s="5"/>
      <c r="L61" s="5"/>
      <c r="M61" s="5"/>
      <c r="N61" s="4"/>
      <c r="O61" s="4"/>
      <c r="P61" s="4"/>
      <c r="Q61" s="4"/>
      <c r="R61" s="4"/>
    </row>
    <row r="62" spans="1:18" s="4" customFormat="1">
      <c r="J62" s="5"/>
      <c r="L62" s="5"/>
      <c r="M62" s="5"/>
    </row>
    <row r="63" spans="1:18" s="4" customFormat="1">
      <c r="J63" s="5"/>
      <c r="L63" s="5"/>
      <c r="M63" s="5"/>
    </row>
    <row r="64" spans="1:18" s="4" customFormat="1">
      <c r="J64" s="5"/>
      <c r="L64" s="5"/>
      <c r="M64" s="5"/>
    </row>
    <row r="65" spans="10:13" s="4" customFormat="1">
      <c r="J65" s="5"/>
      <c r="L65" s="5"/>
      <c r="M65" s="5"/>
    </row>
    <row r="66" spans="10:13" s="4" customFormat="1">
      <c r="J66" s="5"/>
      <c r="L66" s="5"/>
      <c r="M66" s="5"/>
    </row>
    <row r="67" spans="10:13" s="4" customFormat="1">
      <c r="J67" s="5"/>
      <c r="L67" s="5"/>
      <c r="M67" s="5"/>
    </row>
    <row r="68" spans="10:13" s="4" customFormat="1">
      <c r="J68" s="5"/>
      <c r="L68" s="5"/>
      <c r="M68" s="5"/>
    </row>
    <row r="69" spans="10:13" s="4" customFormat="1">
      <c r="J69" s="5"/>
      <c r="L69" s="5"/>
      <c r="M69" s="5"/>
    </row>
    <row r="70" spans="10:13" s="4" customFormat="1">
      <c r="J70" s="5"/>
      <c r="L70" s="5"/>
      <c r="M70" s="5"/>
    </row>
    <row r="71" spans="10:13" s="4" customFormat="1">
      <c r="J71" s="5"/>
      <c r="L71" s="5"/>
      <c r="M71" s="5"/>
    </row>
    <row r="72" spans="10:13" s="4" customFormat="1">
      <c r="J72" s="5"/>
      <c r="L72" s="5"/>
      <c r="M72" s="5"/>
    </row>
    <row r="73" spans="10:13" s="4" customFormat="1">
      <c r="J73" s="5"/>
      <c r="L73" s="5"/>
      <c r="M73" s="5"/>
    </row>
    <row r="74" spans="10:13" s="4" customFormat="1">
      <c r="J74" s="5"/>
      <c r="L74" s="5"/>
      <c r="M74" s="5"/>
    </row>
    <row r="75" spans="10:13" s="4" customFormat="1">
      <c r="J75" s="5"/>
      <c r="L75" s="5"/>
      <c r="M75" s="5"/>
    </row>
    <row r="76" spans="10:13" s="4" customFormat="1">
      <c r="J76" s="5"/>
      <c r="L76" s="5"/>
      <c r="M76" s="5"/>
    </row>
    <row r="77" spans="10:13" s="4" customFormat="1">
      <c r="J77" s="5"/>
      <c r="L77" s="5"/>
      <c r="M77" s="5"/>
    </row>
    <row r="78" spans="10:13" s="4" customFormat="1">
      <c r="J78" s="5"/>
      <c r="L78" s="5"/>
      <c r="M78" s="5"/>
    </row>
    <row r="79" spans="10:13" s="4" customFormat="1">
      <c r="J79" s="5"/>
      <c r="L79" s="5"/>
      <c r="M79" s="5"/>
    </row>
    <row r="80" spans="10:13" s="4" customFormat="1">
      <c r="J80" s="5"/>
      <c r="L80" s="5"/>
      <c r="M80" s="5"/>
    </row>
    <row r="81" spans="10:13" s="4" customFormat="1">
      <c r="J81" s="5"/>
      <c r="L81" s="5"/>
      <c r="M81" s="5"/>
    </row>
    <row r="82" spans="10:13" s="4" customFormat="1">
      <c r="J82" s="5"/>
      <c r="L82" s="5"/>
      <c r="M82" s="5"/>
    </row>
    <row r="83" spans="10:13" s="4" customFormat="1">
      <c r="J83" s="5"/>
      <c r="L83" s="5"/>
      <c r="M83" s="5"/>
    </row>
    <row r="84" spans="10:13" s="4" customFormat="1">
      <c r="J84" s="5"/>
      <c r="L84" s="5"/>
      <c r="M84" s="5"/>
    </row>
    <row r="85" spans="10:13" s="4" customFormat="1">
      <c r="J85" s="5"/>
      <c r="L85" s="5"/>
      <c r="M85" s="5"/>
    </row>
    <row r="86" spans="10:13" s="4" customFormat="1">
      <c r="J86" s="5"/>
      <c r="L86" s="5"/>
      <c r="M86" s="5"/>
    </row>
    <row r="87" spans="10:13" s="4" customFormat="1">
      <c r="J87" s="5"/>
      <c r="L87" s="5"/>
      <c r="M87" s="5"/>
    </row>
    <row r="88" spans="10:13" s="4" customFormat="1">
      <c r="J88" s="5"/>
      <c r="L88" s="5"/>
      <c r="M88" s="5"/>
    </row>
    <row r="89" spans="10:13" s="4" customFormat="1">
      <c r="J89" s="5"/>
      <c r="L89" s="5"/>
      <c r="M89" s="5"/>
    </row>
    <row r="90" spans="10:13" s="4" customFormat="1">
      <c r="J90" s="5"/>
      <c r="L90" s="5"/>
      <c r="M90" s="5"/>
    </row>
    <row r="91" spans="10:13" s="4" customFormat="1">
      <c r="J91" s="5"/>
      <c r="L91" s="5"/>
      <c r="M91" s="5"/>
    </row>
    <row r="92" spans="10:13" s="4" customFormat="1">
      <c r="J92" s="5"/>
      <c r="L92" s="5"/>
      <c r="M92" s="5"/>
    </row>
    <row r="93" spans="10:13" s="4" customFormat="1">
      <c r="J93" s="5"/>
      <c r="L93" s="5"/>
      <c r="M93" s="5"/>
    </row>
    <row r="94" spans="10:13" s="4" customFormat="1">
      <c r="J94" s="5"/>
      <c r="L94" s="5"/>
      <c r="M94" s="5"/>
    </row>
    <row r="95" spans="10:13" s="4" customFormat="1">
      <c r="J95" s="5"/>
      <c r="L95" s="5"/>
      <c r="M95" s="5"/>
    </row>
    <row r="96" spans="10:13" s="4" customFormat="1">
      <c r="J96" s="5"/>
      <c r="L96" s="5"/>
      <c r="M96" s="5"/>
    </row>
    <row r="97" spans="10:13" s="4" customFormat="1">
      <c r="J97" s="5"/>
      <c r="L97" s="5"/>
      <c r="M97" s="5"/>
    </row>
    <row r="98" spans="10:13" s="4" customFormat="1">
      <c r="J98" s="5"/>
      <c r="L98" s="5"/>
      <c r="M98" s="5"/>
    </row>
    <row r="99" spans="10:13" s="4" customFormat="1">
      <c r="J99" s="5"/>
      <c r="L99" s="5"/>
      <c r="M99" s="5"/>
    </row>
    <row r="100" spans="10:13" s="4" customFormat="1">
      <c r="J100" s="5"/>
      <c r="L100" s="5"/>
      <c r="M100" s="5"/>
    </row>
    <row r="101" spans="10:13" s="4" customFormat="1">
      <c r="J101" s="5"/>
      <c r="L101" s="5"/>
      <c r="M101" s="5"/>
    </row>
    <row r="102" spans="10:13" s="4" customFormat="1">
      <c r="J102" s="5"/>
      <c r="L102" s="5"/>
      <c r="M102" s="5"/>
    </row>
    <row r="103" spans="10:13" s="4" customFormat="1">
      <c r="J103" s="5"/>
      <c r="L103" s="5"/>
      <c r="M103" s="5"/>
    </row>
    <row r="104" spans="10:13" s="4" customFormat="1">
      <c r="J104" s="5"/>
      <c r="L104" s="5"/>
      <c r="M104" s="5"/>
    </row>
    <row r="105" spans="10:13" s="4" customFormat="1">
      <c r="J105" s="5"/>
      <c r="L105" s="5"/>
      <c r="M105" s="5"/>
    </row>
    <row r="106" spans="10:13" s="4" customFormat="1">
      <c r="J106" s="5"/>
      <c r="L106" s="5"/>
      <c r="M106" s="5"/>
    </row>
    <row r="107" spans="10:13" s="4" customFormat="1">
      <c r="J107" s="5"/>
      <c r="L107" s="5"/>
      <c r="M107" s="5"/>
    </row>
    <row r="108" spans="10:13" s="4" customFormat="1">
      <c r="J108" s="5"/>
      <c r="L108" s="5"/>
      <c r="M108" s="5"/>
    </row>
    <row r="109" spans="10:13" s="4" customFormat="1">
      <c r="J109" s="5"/>
      <c r="L109" s="5"/>
      <c r="M109" s="5"/>
    </row>
    <row r="110" spans="10:13" s="4" customFormat="1">
      <c r="J110" s="5"/>
      <c r="L110" s="5"/>
      <c r="M110" s="5"/>
    </row>
  </sheetData>
  <sheetProtection algorithmName="SHA-512" hashValue="pKB4t3TUX7BP5XpegMnAz/F/Jnh6hzNekgkPobjjCUYE2CHoZSOK6Ee7GV/q0X7k3pMiUrYCN+u6pToKE3VtKQ==" saltValue="TJRUfEOWUEv1jZ0a2UqKKg==" spinCount="100000" sheet="1" objects="1" scenarios="1"/>
  <mergeCells count="8">
    <mergeCell ref="A49:O50"/>
    <mergeCell ref="A21:I21"/>
    <mergeCell ref="A22:I22"/>
    <mergeCell ref="A29:I29"/>
    <mergeCell ref="A10:I11"/>
    <mergeCell ref="A14:I14"/>
    <mergeCell ref="A15:I15"/>
    <mergeCell ref="A16:I17"/>
  </mergeCells>
  <conditionalFormatting sqref="K7:K9">
    <cfRule type="expression" dxfId="36" priority="128">
      <formula>$J$4="NO"</formula>
    </cfRule>
  </conditionalFormatting>
  <conditionalFormatting sqref="K11">
    <cfRule type="expression" dxfId="35" priority="136">
      <formula>$J$4="NO"</formula>
    </cfRule>
  </conditionalFormatting>
  <conditionalFormatting sqref="K15">
    <cfRule type="expression" dxfId="34" priority="52">
      <formula>$J$4="NO"</formula>
    </cfRule>
  </conditionalFormatting>
  <conditionalFormatting sqref="K20">
    <cfRule type="expression" dxfId="33" priority="43">
      <formula>$J$4="NO"</formula>
    </cfRule>
  </conditionalFormatting>
  <conditionalFormatting sqref="K28">
    <cfRule type="expression" dxfId="32" priority="26">
      <formula>$J$4="NO"</formula>
    </cfRule>
  </conditionalFormatting>
  <conditionalFormatting sqref="N7:N11 N14:N16 N45">
    <cfRule type="cellIs" dxfId="31" priority="105" operator="equal">
      <formula>"HIGH"</formula>
    </cfRule>
    <cfRule type="cellIs" dxfId="30" priority="106" operator="equal">
      <formula>"Please answer all questions"</formula>
    </cfRule>
    <cfRule type="cellIs" dxfId="29" priority="107" operator="equal">
      <formula>"MEDIUM"</formula>
    </cfRule>
    <cfRule type="cellIs" dxfId="28" priority="108" operator="equal">
      <formula>"LOW"</formula>
    </cfRule>
  </conditionalFormatting>
  <conditionalFormatting sqref="N7:N11">
    <cfRule type="cellIs" dxfId="27" priority="102" operator="equal">
      <formula>"NEGLIGIBLE"</formula>
    </cfRule>
  </conditionalFormatting>
  <conditionalFormatting sqref="N14:N16">
    <cfRule type="cellIs" dxfId="26" priority="49" operator="equal">
      <formula>"NEGLIGIBLE"</formula>
    </cfRule>
  </conditionalFormatting>
  <conditionalFormatting sqref="N20:N25">
    <cfRule type="cellIs" dxfId="25" priority="32" operator="equal">
      <formula>"NEGLIGIBLE"</formula>
    </cfRule>
    <cfRule type="cellIs" dxfId="24" priority="36" operator="equal">
      <formula>"HIGH"</formula>
    </cfRule>
    <cfRule type="cellIs" dxfId="23" priority="37" operator="equal">
      <formula>"LOW / NEGLIGIBLE"</formula>
    </cfRule>
    <cfRule type="cellIs" dxfId="22" priority="38" operator="equal">
      <formula>"MEDIUM"</formula>
    </cfRule>
    <cfRule type="cellIs" dxfId="21" priority="39" operator="equal">
      <formula>"LOW"</formula>
    </cfRule>
  </conditionalFormatting>
  <conditionalFormatting sqref="N28:N31">
    <cfRule type="cellIs" dxfId="20" priority="15" operator="equal">
      <formula>"NEGLIGIBLE"</formula>
    </cfRule>
    <cfRule type="cellIs" dxfId="19" priority="19" operator="equal">
      <formula>"HIGH"</formula>
    </cfRule>
    <cfRule type="cellIs" dxfId="18" priority="20" operator="equal">
      <formula>"LOW / NEGLIGIBLE"</formula>
    </cfRule>
    <cfRule type="cellIs" dxfId="17" priority="21" operator="equal">
      <formula>"MEDIUM"</formula>
    </cfRule>
    <cfRule type="cellIs" dxfId="16" priority="22" operator="equal">
      <formula>"LOW"</formula>
    </cfRule>
  </conditionalFormatting>
  <conditionalFormatting sqref="N34:N40">
    <cfRule type="cellIs" dxfId="15" priority="67" operator="equal">
      <formula>"HIGH"</formula>
    </cfRule>
    <cfRule type="cellIs" dxfId="14" priority="68" operator="equal">
      <formula>"LOW / NEGLIGIBLE"</formula>
    </cfRule>
    <cfRule type="cellIs" dxfId="13" priority="69" operator="equal">
      <formula>"MEDIUM"</formula>
    </cfRule>
    <cfRule type="cellIs" dxfId="12" priority="70" operator="equal">
      <formula>"LOW"</formula>
    </cfRule>
    <cfRule type="cellIs" dxfId="11" priority="104" operator="equal">
      <formula>"NEGLIGIBLE"</formula>
    </cfRule>
  </conditionalFormatting>
  <conditionalFormatting sqref="N42:N43">
    <cfRule type="cellIs" dxfId="10" priority="1" operator="equal">
      <formula>"NEGLIGIBLE"</formula>
    </cfRule>
    <cfRule type="cellIs" dxfId="9" priority="4" operator="equal">
      <formula>"HIGH"</formula>
    </cfRule>
    <cfRule type="cellIs" dxfId="8" priority="5" operator="equal">
      <formula>"LOW / NEGLIGIBLE"</formula>
    </cfRule>
    <cfRule type="cellIs" dxfId="7" priority="6" operator="equal">
      <formula>"MEDIUM"</formula>
    </cfRule>
    <cfRule type="cellIs" dxfId="6" priority="7" operator="equal">
      <formula>"LOW"</formula>
    </cfRule>
  </conditionalFormatting>
  <conditionalFormatting sqref="N45">
    <cfRule type="cellIs" dxfId="5" priority="98" operator="equal">
      <formula>"NEGLIGIBLE"</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'Drop Down Options'!$R$6:$R$7</xm:f>
          </x14:formula1>
          <xm:sqref>J4</xm:sqref>
        </x14:dataValidation>
        <x14:dataValidation type="list" allowBlank="1" showInputMessage="1" showErrorMessage="1" xr:uid="{00000000-0002-0000-0300-000001000000}">
          <x14:formula1>
            <xm:f>'Drop Down Options'!$R$9:$R$10</xm:f>
          </x14:formula1>
          <xm:sqref>J8:J10 J14:J16 J20:J22 J28:J29</xm:sqref>
        </x14:dataValidation>
        <x14:dataValidation type="list" allowBlank="1" showInputMessage="1" showErrorMessage="1" xr:uid="{00000000-0002-0000-0300-000002000000}">
          <x14:formula1>
            <xm:f>'Drop Down Options'!$Q$31:$Q$32</xm:f>
          </x14:formula1>
          <xm:sqref>J30:J31</xm:sqref>
        </x14:dataValidation>
        <x14:dataValidation type="list" allowBlank="1" showInputMessage="1" showErrorMessage="1" xr:uid="{00000000-0002-0000-0300-000003000000}">
          <x14:formula1>
            <xm:f>'Drop Down Options'!$Q$38:$Q$39</xm:f>
          </x14:formula1>
          <xm:sqref>J42:J43 J34:J40</xm:sqref>
        </x14:dataValidation>
        <x14:dataValidation type="list" allowBlank="1" showInputMessage="1" showErrorMessage="1" xr:uid="{00000000-0002-0000-0300-000004000000}">
          <x14:formula1>
            <xm:f>'Drop Down Options'!$Q$23:$Q$24</xm:f>
          </x14:formula1>
          <xm:sqref>J23:J25</xm:sqref>
        </x14:dataValidation>
        <x14:dataValidation type="list" allowBlank="1" showInputMessage="1" showErrorMessage="1" xr:uid="{00000000-0002-0000-0300-000005000000}">
          <x14:formula1>
            <xm:f>'Drop Down Options'!$Q$13:$Q$15</xm:f>
          </x14:formula1>
          <xm:sqref>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9"/>
  <sheetViews>
    <sheetView zoomScaleNormal="100" workbookViewId="0">
      <selection activeCell="H12" sqref="H12"/>
    </sheetView>
  </sheetViews>
  <sheetFormatPr defaultColWidth="9.140625" defaultRowHeight="15"/>
  <cols>
    <col min="1" max="5" width="9.140625" style="206"/>
    <col min="6" max="6" width="9.7109375" style="206" customWidth="1"/>
    <col min="7" max="7" width="11.85546875" style="206" customWidth="1"/>
    <col min="8" max="8" width="9.140625" style="206"/>
    <col min="9" max="9" width="10.42578125" style="206" customWidth="1"/>
    <col min="10" max="10" width="9.140625" style="206"/>
    <col min="11" max="13" width="9.140625" style="206" customWidth="1"/>
    <col min="14" max="16384" width="9.140625" style="206"/>
  </cols>
  <sheetData>
    <row r="1" spans="1:21" ht="15.75" customHeight="1">
      <c r="A1" s="254" t="s">
        <v>289</v>
      </c>
      <c r="B1" s="254"/>
      <c r="C1" s="254"/>
      <c r="D1" s="254"/>
      <c r="E1" s="254"/>
      <c r="F1" s="254"/>
      <c r="G1" s="4"/>
      <c r="H1" s="4"/>
      <c r="I1" s="4"/>
      <c r="J1" s="4"/>
      <c r="K1" s="4"/>
      <c r="L1" s="4"/>
      <c r="M1" s="4"/>
      <c r="N1" s="4"/>
      <c r="O1" s="4"/>
      <c r="P1" s="4"/>
      <c r="Q1" s="4"/>
      <c r="R1" s="4"/>
      <c r="S1" s="4"/>
      <c r="T1" s="4"/>
      <c r="U1" s="4"/>
    </row>
    <row r="2" spans="1:21">
      <c r="A2" s="254"/>
      <c r="B2" s="254"/>
      <c r="C2" s="254"/>
      <c r="D2" s="254"/>
      <c r="E2" s="254"/>
      <c r="F2" s="254"/>
      <c r="G2" s="4"/>
      <c r="H2" s="4"/>
      <c r="I2" s="4"/>
      <c r="J2" s="4"/>
      <c r="K2" s="4"/>
      <c r="L2" s="4"/>
      <c r="M2" s="4"/>
      <c r="N2" s="4"/>
      <c r="O2" s="4"/>
      <c r="P2" s="4"/>
      <c r="Q2" s="4"/>
      <c r="R2" s="4"/>
      <c r="S2" s="4"/>
      <c r="T2" s="4"/>
      <c r="U2" s="4"/>
    </row>
    <row r="3" spans="1:21">
      <c r="A3" s="4"/>
      <c r="B3" s="4"/>
      <c r="C3" s="4"/>
      <c r="D3" s="4"/>
      <c r="E3" s="4"/>
      <c r="F3" s="4"/>
      <c r="G3" s="4"/>
      <c r="H3" s="4"/>
      <c r="I3" s="4"/>
      <c r="J3" s="4"/>
      <c r="K3" s="4"/>
      <c r="L3" s="4"/>
      <c r="M3" s="4"/>
      <c r="N3" s="4"/>
      <c r="O3" s="4"/>
      <c r="P3" s="4"/>
      <c r="Q3" s="4"/>
      <c r="R3" s="4"/>
      <c r="S3" s="4"/>
      <c r="T3" s="4"/>
      <c r="U3" s="4"/>
    </row>
    <row r="4" spans="1:21">
      <c r="A4" s="4" t="s">
        <v>291</v>
      </c>
      <c r="B4" s="4"/>
      <c r="C4" s="4"/>
      <c r="D4" s="248" t="s">
        <v>309</v>
      </c>
      <c r="E4" s="249"/>
      <c r="F4" s="250"/>
      <c r="G4" s="4"/>
      <c r="H4" s="4"/>
      <c r="I4" s="4"/>
      <c r="J4" s="4"/>
      <c r="K4" s="4"/>
      <c r="L4" s="4"/>
      <c r="M4" s="4"/>
      <c r="N4" s="4"/>
      <c r="O4" s="4"/>
      <c r="P4" s="4"/>
      <c r="Q4" s="4"/>
      <c r="R4" s="4"/>
      <c r="S4" s="4"/>
      <c r="T4" s="4"/>
      <c r="U4" s="4"/>
    </row>
    <row r="5" spans="1:21">
      <c r="A5" s="4" t="s">
        <v>290</v>
      </c>
      <c r="B5" s="4"/>
      <c r="C5" s="4"/>
      <c r="D5" s="248" t="s">
        <v>310</v>
      </c>
      <c r="E5" s="249"/>
      <c r="F5" s="250"/>
      <c r="G5" s="4"/>
      <c r="H5" s="4"/>
      <c r="I5" s="4"/>
      <c r="J5" s="4"/>
      <c r="K5" s="4"/>
      <c r="L5" s="4"/>
      <c r="M5" s="4"/>
      <c r="N5" s="4"/>
      <c r="O5" s="4"/>
      <c r="P5" s="4"/>
      <c r="Q5" s="4"/>
      <c r="R5" s="4"/>
      <c r="S5" s="4"/>
      <c r="T5" s="4"/>
      <c r="U5" s="4"/>
    </row>
    <row r="6" spans="1:21">
      <c r="A6" s="4" t="s">
        <v>292</v>
      </c>
      <c r="B6" s="4"/>
      <c r="C6" s="4"/>
      <c r="D6" s="248" t="s">
        <v>311</v>
      </c>
      <c r="E6" s="249"/>
      <c r="F6" s="250"/>
      <c r="G6" s="4"/>
      <c r="H6" s="4"/>
      <c r="I6" s="4"/>
      <c r="J6" s="4"/>
      <c r="K6" s="4"/>
      <c r="L6" s="4"/>
      <c r="M6" s="4"/>
      <c r="N6" s="4"/>
      <c r="O6" s="4"/>
      <c r="P6" s="4"/>
      <c r="Q6" s="4"/>
      <c r="R6" s="4"/>
      <c r="S6" s="4"/>
      <c r="T6" s="4"/>
      <c r="U6" s="4"/>
    </row>
    <row r="7" spans="1:21">
      <c r="A7" s="4" t="s">
        <v>293</v>
      </c>
      <c r="B7" s="4"/>
      <c r="C7" s="4"/>
      <c r="D7" s="248" t="s">
        <v>312</v>
      </c>
      <c r="E7" s="249"/>
      <c r="F7" s="250"/>
      <c r="G7" s="4"/>
      <c r="H7" s="4"/>
      <c r="I7" s="4"/>
      <c r="J7" s="4"/>
      <c r="K7" s="4"/>
      <c r="L7" s="4"/>
      <c r="M7" s="4"/>
      <c r="N7" s="4"/>
      <c r="O7" s="4"/>
      <c r="P7" s="4"/>
      <c r="Q7" s="4"/>
      <c r="R7" s="4"/>
      <c r="S7" s="4"/>
      <c r="T7" s="4"/>
      <c r="U7" s="4"/>
    </row>
    <row r="8" spans="1:21">
      <c r="A8" s="4"/>
      <c r="B8" s="4"/>
      <c r="C8" s="4"/>
      <c r="D8" s="4"/>
      <c r="E8" s="4"/>
      <c r="F8" s="4"/>
      <c r="G8" s="4"/>
      <c r="H8" s="4"/>
      <c r="I8" s="4"/>
      <c r="J8" s="4"/>
      <c r="K8" s="4"/>
      <c r="L8" s="4"/>
      <c r="M8" s="4"/>
      <c r="N8" s="4"/>
      <c r="O8" s="4"/>
      <c r="P8" s="4"/>
      <c r="Q8" s="4"/>
      <c r="R8" s="4"/>
      <c r="S8" s="4"/>
      <c r="T8" s="4"/>
      <c r="U8" s="4"/>
    </row>
    <row r="9" spans="1:21">
      <c r="A9" s="4" t="s">
        <v>294</v>
      </c>
      <c r="B9" s="4"/>
      <c r="C9" s="4"/>
      <c r="D9" s="248" t="s">
        <v>469</v>
      </c>
      <c r="E9" s="249"/>
      <c r="F9" s="250"/>
      <c r="G9" s="4"/>
      <c r="H9" s="4"/>
      <c r="I9" s="4"/>
      <c r="J9" s="4"/>
      <c r="K9" s="4"/>
      <c r="L9" s="4"/>
      <c r="M9" s="4"/>
      <c r="N9" s="4"/>
      <c r="O9" s="4"/>
      <c r="P9" s="4"/>
      <c r="Q9" s="4"/>
      <c r="R9" s="4"/>
      <c r="S9" s="4"/>
      <c r="T9" s="4"/>
      <c r="U9" s="4"/>
    </row>
    <row r="10" spans="1:21">
      <c r="A10" s="4" t="s">
        <v>468</v>
      </c>
      <c r="B10" s="4"/>
      <c r="C10" s="4"/>
      <c r="D10" s="248" t="s">
        <v>469</v>
      </c>
      <c r="E10" s="249"/>
      <c r="F10" s="250"/>
      <c r="G10" s="4"/>
      <c r="H10" s="4"/>
      <c r="I10" s="4"/>
      <c r="J10" s="4"/>
      <c r="K10" s="4"/>
      <c r="L10" s="4"/>
      <c r="M10" s="4"/>
      <c r="N10" s="4"/>
      <c r="O10" s="4"/>
      <c r="P10" s="4"/>
      <c r="Q10" s="4"/>
      <c r="R10" s="4"/>
      <c r="S10" s="4"/>
      <c r="T10" s="4"/>
      <c r="U10" s="4"/>
    </row>
    <row r="11" spans="1:21">
      <c r="A11" s="4" t="s">
        <v>295</v>
      </c>
      <c r="B11" s="4"/>
      <c r="C11" s="4"/>
      <c r="D11" s="251" t="s">
        <v>376</v>
      </c>
      <c r="E11" s="252"/>
      <c r="F11" s="253"/>
      <c r="G11" s="4"/>
      <c r="H11" s="4"/>
      <c r="I11" s="4"/>
      <c r="J11" s="4"/>
      <c r="K11" s="4"/>
      <c r="L11" s="4"/>
      <c r="M11" s="4"/>
      <c r="N11" s="4"/>
      <c r="O11" s="4"/>
      <c r="P11" s="4"/>
      <c r="Q11" s="4"/>
      <c r="R11" s="4"/>
      <c r="S11" s="4"/>
      <c r="T11" s="4"/>
      <c r="U11" s="4"/>
    </row>
    <row r="12" spans="1:21">
      <c r="A12" s="4"/>
      <c r="B12" s="4"/>
      <c r="C12" s="4"/>
      <c r="D12" s="208"/>
      <c r="E12" s="49"/>
      <c r="F12" s="49"/>
      <c r="G12" s="4"/>
      <c r="H12" s="4"/>
      <c r="I12" s="4"/>
      <c r="J12" s="4"/>
      <c r="K12" s="4"/>
      <c r="L12" s="4"/>
      <c r="M12" s="4"/>
      <c r="N12" s="4"/>
      <c r="O12" s="4"/>
      <c r="P12" s="4"/>
      <c r="Q12" s="4"/>
      <c r="R12" s="4"/>
      <c r="S12" s="4"/>
      <c r="T12" s="4"/>
      <c r="U12" s="4"/>
    </row>
    <row r="13" spans="1:21">
      <c r="A13" s="4" t="s">
        <v>426</v>
      </c>
      <c r="B13" s="4"/>
      <c r="C13" s="4"/>
      <c r="D13" s="251" t="s">
        <v>415</v>
      </c>
      <c r="E13" s="252"/>
      <c r="F13" s="253"/>
      <c r="G13" s="4"/>
      <c r="H13" s="4"/>
      <c r="I13" s="4"/>
      <c r="J13" s="4"/>
      <c r="K13" s="4"/>
      <c r="L13" s="4"/>
      <c r="M13" s="4"/>
      <c r="N13" s="4"/>
      <c r="O13" s="4"/>
      <c r="P13" s="4"/>
      <c r="Q13" s="4"/>
      <c r="R13" s="4"/>
      <c r="S13" s="4"/>
      <c r="T13" s="4"/>
      <c r="U13" s="4"/>
    </row>
    <row r="14" spans="1:21">
      <c r="A14" s="4" t="s">
        <v>427</v>
      </c>
      <c r="B14" s="4"/>
      <c r="C14" s="4"/>
      <c r="D14" s="251" t="s">
        <v>114</v>
      </c>
      <c r="E14" s="252"/>
      <c r="F14" s="253"/>
      <c r="G14" s="4"/>
      <c r="H14" s="4"/>
      <c r="I14" s="4"/>
      <c r="J14" s="4"/>
      <c r="K14" s="4"/>
      <c r="L14" s="4"/>
      <c r="M14" s="4"/>
      <c r="N14" s="4"/>
      <c r="O14" s="4"/>
      <c r="P14" s="4"/>
      <c r="Q14" s="4"/>
      <c r="R14" s="4"/>
      <c r="S14" s="4"/>
      <c r="T14" s="4"/>
      <c r="U14" s="4"/>
    </row>
    <row r="15" spans="1:21">
      <c r="A15" s="30"/>
      <c r="B15" s="30"/>
      <c r="C15" s="30"/>
      <c r="D15" s="30"/>
      <c r="E15" s="30"/>
      <c r="F15" s="30"/>
      <c r="G15" s="30"/>
      <c r="H15" s="30"/>
      <c r="I15" s="30"/>
      <c r="J15" s="4"/>
      <c r="K15" s="4"/>
      <c r="L15" s="4"/>
      <c r="M15" s="4"/>
      <c r="N15" s="4"/>
      <c r="O15" s="23"/>
      <c r="P15" s="4"/>
      <c r="Q15" s="4"/>
      <c r="R15" s="4"/>
      <c r="S15" s="4"/>
      <c r="T15" s="4"/>
      <c r="U15" s="4"/>
    </row>
    <row r="16" spans="1:21">
      <c r="A16" s="4"/>
      <c r="B16" s="4"/>
      <c r="C16" s="4"/>
      <c r="D16" s="4"/>
      <c r="E16" s="4"/>
      <c r="F16" s="4"/>
      <c r="G16" s="4"/>
      <c r="H16" s="4"/>
      <c r="I16" s="4"/>
      <c r="J16" s="4"/>
      <c r="K16" s="4"/>
      <c r="L16" s="4"/>
      <c r="M16" s="4"/>
      <c r="N16" s="4"/>
      <c r="O16" s="4"/>
      <c r="P16" s="4"/>
      <c r="Q16" s="4"/>
      <c r="R16" s="4"/>
      <c r="S16" s="4"/>
      <c r="T16" s="4"/>
      <c r="U16" s="4"/>
    </row>
    <row r="17" spans="1:21">
      <c r="A17" s="6" t="s">
        <v>296</v>
      </c>
      <c r="B17" s="4"/>
      <c r="C17" s="4"/>
      <c r="D17" s="4"/>
      <c r="E17" s="4"/>
      <c r="F17" s="4"/>
      <c r="G17" s="4"/>
      <c r="H17" s="4"/>
      <c r="I17" s="4"/>
      <c r="J17" s="4"/>
      <c r="K17" s="4"/>
      <c r="L17" s="4"/>
      <c r="M17" s="4"/>
      <c r="N17" s="4"/>
      <c r="O17" s="4"/>
      <c r="P17" s="4"/>
      <c r="Q17" s="4"/>
      <c r="R17" s="4"/>
      <c r="S17" s="4"/>
      <c r="T17" s="4"/>
      <c r="U17" s="4"/>
    </row>
    <row r="18" spans="1:21">
      <c r="A18" s="4" t="s">
        <v>297</v>
      </c>
      <c r="B18" s="4"/>
      <c r="C18" s="4"/>
      <c r="D18" s="4"/>
      <c r="E18" s="4"/>
      <c r="F18" s="4"/>
      <c r="G18" s="255" t="str">
        <f>'1. Pre-Restoration Likelihood'!H137</f>
        <v>LOW</v>
      </c>
      <c r="H18" s="256"/>
      <c r="I18" s="256"/>
      <c r="J18" s="4"/>
      <c r="K18" s="4"/>
      <c r="L18" s="4"/>
      <c r="M18" s="4"/>
      <c r="N18" s="4"/>
      <c r="O18" s="4"/>
      <c r="P18" s="4"/>
      <c r="Q18" s="4"/>
      <c r="R18" s="4"/>
      <c r="S18" s="4"/>
      <c r="T18" s="4"/>
      <c r="U18" s="4"/>
    </row>
    <row r="19" spans="1:21">
      <c r="A19" s="4" t="s">
        <v>299</v>
      </c>
      <c r="B19" s="4"/>
      <c r="C19" s="4"/>
      <c r="D19" s="4"/>
      <c r="E19" s="4"/>
      <c r="F19" s="4"/>
      <c r="G19" s="257">
        <f>'1. Pre-Restoration Likelihood'!L142</f>
        <v>22.908577478454543</v>
      </c>
      <c r="H19" s="257"/>
      <c r="I19" s="257"/>
      <c r="J19" s="4"/>
      <c r="K19" s="4"/>
      <c r="L19" s="4"/>
      <c r="M19" s="4"/>
      <c r="N19" s="4"/>
      <c r="O19" s="4"/>
      <c r="P19" s="4"/>
      <c r="Q19" s="4"/>
      <c r="R19" s="4"/>
      <c r="S19" s="4"/>
      <c r="T19" s="4"/>
      <c r="U19" s="4"/>
    </row>
    <row r="20" spans="1:21">
      <c r="A20" s="4"/>
      <c r="B20" s="4"/>
      <c r="C20" s="4"/>
      <c r="D20" s="4"/>
      <c r="E20" s="4"/>
      <c r="F20" s="4"/>
      <c r="G20" s="4"/>
      <c r="H20" s="4"/>
      <c r="I20" s="4"/>
      <c r="J20" s="4"/>
      <c r="K20" s="4"/>
      <c r="L20" s="4"/>
      <c r="M20" s="4"/>
      <c r="N20" s="4"/>
      <c r="O20" s="4"/>
      <c r="P20" s="4"/>
      <c r="Q20" s="4"/>
      <c r="R20" s="4"/>
      <c r="S20" s="4"/>
      <c r="T20" s="4"/>
      <c r="U20" s="4"/>
    </row>
    <row r="21" spans="1:21">
      <c r="A21" s="4" t="s">
        <v>300</v>
      </c>
      <c r="B21" s="4"/>
      <c r="C21" s="4"/>
      <c r="D21" s="4"/>
      <c r="E21" s="4"/>
      <c r="F21" s="4"/>
      <c r="G21" s="259"/>
      <c r="H21" s="259"/>
      <c r="I21" s="259"/>
      <c r="J21" s="4"/>
      <c r="K21" s="4"/>
      <c r="L21" s="4"/>
      <c r="M21" s="4"/>
      <c r="N21" s="4"/>
      <c r="O21" s="4"/>
      <c r="P21" s="4"/>
      <c r="Q21" s="4"/>
      <c r="R21" s="4"/>
      <c r="S21" s="4"/>
      <c r="T21" s="4"/>
      <c r="U21" s="4"/>
    </row>
    <row r="22" spans="1:21">
      <c r="A22" s="20" t="s">
        <v>466</v>
      </c>
      <c r="B22" s="4"/>
      <c r="C22" s="4"/>
      <c r="D22" s="4"/>
      <c r="E22" s="4"/>
      <c r="F22" s="4"/>
      <c r="G22" s="259"/>
      <c r="H22" s="259"/>
      <c r="I22" s="259"/>
      <c r="J22" s="4"/>
      <c r="K22" s="4"/>
      <c r="L22" s="4"/>
      <c r="M22" s="4"/>
      <c r="N22" s="4"/>
      <c r="O22" s="4"/>
      <c r="P22" s="4"/>
      <c r="Q22" s="4"/>
      <c r="R22" s="4"/>
      <c r="S22" s="4"/>
      <c r="T22" s="4"/>
      <c r="U22" s="4"/>
    </row>
    <row r="23" spans="1:21">
      <c r="A23" s="4"/>
      <c r="B23" s="4"/>
      <c r="C23" s="4"/>
      <c r="D23" s="4"/>
      <c r="E23" s="4"/>
      <c r="F23" s="4"/>
      <c r="G23" s="259"/>
      <c r="H23" s="259"/>
      <c r="I23" s="259"/>
      <c r="J23" s="4"/>
      <c r="K23" s="4"/>
      <c r="L23" s="4"/>
      <c r="M23" s="4"/>
      <c r="N23" s="4"/>
      <c r="O23" s="4"/>
      <c r="P23" s="4"/>
      <c r="Q23" s="4"/>
      <c r="R23" s="4"/>
      <c r="S23" s="4"/>
      <c r="T23" s="4"/>
      <c r="U23" s="4"/>
    </row>
    <row r="24" spans="1:21">
      <c r="A24" s="4"/>
      <c r="B24" s="4"/>
      <c r="C24" s="4"/>
      <c r="D24" s="4"/>
      <c r="E24" s="4"/>
      <c r="F24" s="4"/>
      <c r="G24" s="259"/>
      <c r="H24" s="259"/>
      <c r="I24" s="259"/>
      <c r="J24" s="4"/>
      <c r="K24" s="4"/>
      <c r="L24" s="4"/>
      <c r="M24" s="4"/>
      <c r="N24" s="4"/>
      <c r="O24" s="4"/>
      <c r="P24" s="4"/>
      <c r="Q24" s="4"/>
      <c r="R24" s="4"/>
      <c r="S24" s="4"/>
      <c r="T24" s="4"/>
      <c r="U24" s="4"/>
    </row>
    <row r="25" spans="1:21">
      <c r="A25" s="6" t="s">
        <v>318</v>
      </c>
      <c r="B25" s="4"/>
      <c r="C25" s="4"/>
      <c r="D25" s="4"/>
      <c r="E25" s="4"/>
      <c r="F25" s="4"/>
      <c r="G25" s="4"/>
      <c r="H25" s="4"/>
      <c r="I25" s="4"/>
      <c r="J25" s="4"/>
      <c r="K25" s="4"/>
      <c r="L25" s="4"/>
      <c r="M25" s="4"/>
      <c r="N25" s="4"/>
      <c r="O25" s="4"/>
      <c r="P25" s="4"/>
      <c r="Q25" s="4"/>
      <c r="R25" s="4"/>
      <c r="S25" s="4"/>
      <c r="T25" s="4"/>
      <c r="U25" s="4"/>
    </row>
    <row r="26" spans="1:21">
      <c r="A26" s="4" t="s">
        <v>301</v>
      </c>
      <c r="B26" s="4"/>
      <c r="C26" s="4"/>
      <c r="D26" s="4"/>
      <c r="E26" s="4"/>
      <c r="F26" s="4"/>
      <c r="G26" s="4"/>
      <c r="H26" s="263" t="str">
        <f>'2. Post-restoration Likelihood'!C46</f>
        <v>LOW</v>
      </c>
      <c r="I26" s="263"/>
      <c r="J26" s="4"/>
      <c r="K26" s="4"/>
      <c r="L26" s="4"/>
      <c r="M26" s="4"/>
      <c r="N26" s="4"/>
      <c r="O26" s="4"/>
      <c r="P26" s="4"/>
      <c r="Q26" s="4"/>
      <c r="R26" s="4"/>
      <c r="S26" s="4"/>
      <c r="T26" s="4"/>
      <c r="U26" s="4"/>
    </row>
    <row r="27" spans="1:21">
      <c r="A27" s="4" t="s">
        <v>302</v>
      </c>
      <c r="B27" s="4"/>
      <c r="C27" s="4"/>
      <c r="D27" s="4"/>
      <c r="E27" s="4"/>
      <c r="F27" s="4"/>
      <c r="G27" s="4"/>
      <c r="H27" s="260">
        <f>'2. Post-restoration Likelihood'!E50</f>
        <v>22.908577478454543</v>
      </c>
      <c r="I27" s="260"/>
      <c r="J27" s="4"/>
      <c r="K27" s="4"/>
      <c r="L27" s="4"/>
      <c r="M27" s="4"/>
      <c r="N27" s="4"/>
      <c r="O27" s="4"/>
      <c r="P27" s="4"/>
      <c r="Q27" s="4"/>
      <c r="R27" s="4"/>
      <c r="S27" s="4"/>
      <c r="T27" s="4"/>
      <c r="U27" s="4"/>
    </row>
    <row r="28" spans="1:21">
      <c r="A28" s="4"/>
      <c r="B28" s="4"/>
      <c r="C28" s="4"/>
      <c r="D28" s="4"/>
      <c r="E28" s="4"/>
      <c r="F28" s="4"/>
      <c r="G28" s="4"/>
      <c r="H28" s="4"/>
      <c r="I28" s="4"/>
      <c r="J28" s="4"/>
      <c r="K28" s="4"/>
      <c r="L28" s="4"/>
      <c r="M28" s="4"/>
      <c r="N28" s="4"/>
      <c r="O28" s="4"/>
      <c r="P28" s="4"/>
      <c r="Q28" s="4"/>
      <c r="R28" s="4"/>
      <c r="S28" s="4"/>
      <c r="T28" s="4"/>
      <c r="U28" s="4"/>
    </row>
    <row r="29" spans="1:21">
      <c r="A29" s="6" t="s">
        <v>303</v>
      </c>
      <c r="B29" s="4"/>
      <c r="C29" s="4"/>
      <c r="D29" s="4"/>
      <c r="E29" s="4"/>
      <c r="F29" s="4"/>
      <c r="G29" s="4"/>
      <c r="H29" s="4"/>
      <c r="I29" s="4"/>
      <c r="J29" s="4"/>
      <c r="K29" s="4"/>
      <c r="L29" s="4"/>
      <c r="M29" s="4"/>
      <c r="N29" s="4"/>
      <c r="O29" s="4"/>
      <c r="P29" s="4"/>
      <c r="Q29" s="4"/>
      <c r="R29" s="4"/>
      <c r="S29" s="4"/>
      <c r="T29" s="4"/>
      <c r="U29" s="4"/>
    </row>
    <row r="30" spans="1:21">
      <c r="A30" s="4" t="s">
        <v>304</v>
      </c>
      <c r="B30" s="4"/>
      <c r="C30" s="4"/>
      <c r="D30" s="4"/>
      <c r="E30" s="4"/>
      <c r="F30" s="4"/>
      <c r="G30" s="4"/>
      <c r="H30" s="261" t="s">
        <v>305</v>
      </c>
      <c r="I30" s="261"/>
      <c r="J30" s="4"/>
      <c r="K30" s="4"/>
      <c r="L30" s="4"/>
      <c r="M30" s="4"/>
      <c r="N30" s="4"/>
      <c r="O30" s="4"/>
      <c r="P30" s="4"/>
      <c r="Q30" s="4"/>
      <c r="R30" s="4"/>
      <c r="S30" s="4"/>
      <c r="T30" s="4"/>
      <c r="U30" s="4"/>
    </row>
    <row r="31" spans="1:21">
      <c r="A31" s="4"/>
      <c r="B31" s="4"/>
      <c r="C31" s="4"/>
      <c r="D31" s="4"/>
      <c r="E31" s="4"/>
      <c r="F31" s="4"/>
      <c r="G31" s="4"/>
      <c r="H31" s="4"/>
      <c r="I31" s="4"/>
      <c r="J31" s="4"/>
      <c r="K31" s="4"/>
      <c r="L31" s="4"/>
      <c r="M31" s="4"/>
      <c r="N31" s="4"/>
      <c r="O31" s="4"/>
      <c r="P31" s="4"/>
      <c r="Q31" s="4"/>
      <c r="R31" s="4"/>
      <c r="S31" s="4"/>
      <c r="T31" s="4"/>
      <c r="U31" s="4"/>
    </row>
    <row r="32" spans="1:21">
      <c r="A32" s="6" t="s">
        <v>307</v>
      </c>
      <c r="B32" s="4"/>
      <c r="C32" s="4"/>
      <c r="D32" s="4"/>
      <c r="E32" s="4"/>
      <c r="F32" s="4"/>
      <c r="G32" s="4"/>
      <c r="H32" s="4"/>
      <c r="I32" s="4"/>
      <c r="J32" s="4"/>
      <c r="K32" s="209"/>
      <c r="L32" s="23"/>
      <c r="M32" s="23"/>
      <c r="N32" s="23"/>
      <c r="O32" s="23"/>
      <c r="P32" s="4"/>
      <c r="Q32" s="4"/>
      <c r="R32" s="4"/>
      <c r="S32" s="4"/>
      <c r="T32" s="4"/>
      <c r="U32" s="4"/>
    </row>
    <row r="33" spans="1:21">
      <c r="A33" s="259"/>
      <c r="B33" s="259"/>
      <c r="C33" s="259"/>
      <c r="D33" s="259"/>
      <c r="E33" s="259"/>
      <c r="F33" s="259"/>
      <c r="G33" s="259"/>
      <c r="H33" s="259"/>
      <c r="I33" s="259"/>
      <c r="J33" s="4"/>
      <c r="K33" s="23"/>
      <c r="L33" s="23"/>
      <c r="M33" s="23"/>
      <c r="N33" s="23"/>
      <c r="O33" s="23"/>
      <c r="P33" s="4"/>
      <c r="Q33" s="4"/>
      <c r="R33" s="4"/>
      <c r="S33" s="4"/>
      <c r="T33" s="4"/>
      <c r="U33" s="4"/>
    </row>
    <row r="34" spans="1:21">
      <c r="A34" s="259"/>
      <c r="B34" s="259"/>
      <c r="C34" s="259"/>
      <c r="D34" s="259"/>
      <c r="E34" s="259"/>
      <c r="F34" s="259"/>
      <c r="G34" s="259"/>
      <c r="H34" s="259"/>
      <c r="I34" s="259"/>
      <c r="J34" s="4"/>
      <c r="K34" s="23"/>
      <c r="L34" s="23"/>
      <c r="M34" s="23"/>
      <c r="N34" s="23"/>
      <c r="O34" s="23"/>
      <c r="P34" s="4"/>
      <c r="Q34" s="4"/>
      <c r="R34" s="4"/>
      <c r="S34" s="4"/>
      <c r="T34" s="4"/>
      <c r="U34" s="4"/>
    </row>
    <row r="35" spans="1:21">
      <c r="A35" s="259"/>
      <c r="B35" s="259"/>
      <c r="C35" s="259"/>
      <c r="D35" s="259"/>
      <c r="E35" s="259"/>
      <c r="F35" s="259"/>
      <c r="G35" s="259"/>
      <c r="H35" s="259"/>
      <c r="I35" s="259"/>
      <c r="J35" s="4"/>
      <c r="K35" s="23"/>
      <c r="L35" s="23"/>
      <c r="M35" s="23"/>
      <c r="N35" s="23"/>
      <c r="O35" s="23"/>
      <c r="P35" s="4"/>
      <c r="Q35" s="4"/>
      <c r="R35" s="4"/>
      <c r="S35" s="4"/>
      <c r="T35" s="4"/>
      <c r="U35" s="4"/>
    </row>
    <row r="36" spans="1:21">
      <c r="A36" s="259"/>
      <c r="B36" s="259"/>
      <c r="C36" s="259"/>
      <c r="D36" s="259"/>
      <c r="E36" s="259"/>
      <c r="F36" s="259"/>
      <c r="G36" s="259"/>
      <c r="H36" s="259"/>
      <c r="I36" s="259"/>
      <c r="J36" s="4"/>
      <c r="K36" s="23"/>
      <c r="L36" s="23"/>
      <c r="M36" s="23"/>
      <c r="N36" s="23"/>
      <c r="O36" s="23"/>
      <c r="P36" s="4"/>
      <c r="Q36" s="4"/>
      <c r="R36" s="4"/>
      <c r="S36" s="4"/>
      <c r="T36" s="4"/>
      <c r="U36" s="4"/>
    </row>
    <row r="37" spans="1:21">
      <c r="A37" s="259"/>
      <c r="B37" s="259"/>
      <c r="C37" s="259"/>
      <c r="D37" s="259"/>
      <c r="E37" s="259"/>
      <c r="F37" s="259"/>
      <c r="G37" s="259"/>
      <c r="H37" s="259"/>
      <c r="I37" s="259"/>
      <c r="J37" s="4"/>
      <c r="K37" s="23"/>
      <c r="L37" s="23"/>
      <c r="M37" s="23"/>
      <c r="N37" s="23"/>
      <c r="O37" s="23"/>
      <c r="P37" s="4"/>
      <c r="Q37" s="4"/>
      <c r="R37" s="4"/>
      <c r="S37" s="4"/>
      <c r="T37" s="4"/>
      <c r="U37" s="4"/>
    </row>
    <row r="38" spans="1:21">
      <c r="A38" s="4"/>
      <c r="B38" s="4"/>
      <c r="C38" s="4"/>
      <c r="D38" s="4"/>
      <c r="E38" s="4"/>
      <c r="F38" s="4"/>
      <c r="G38" s="4"/>
      <c r="H38" s="4"/>
      <c r="I38" s="4"/>
      <c r="J38" s="4"/>
      <c r="K38" s="23"/>
      <c r="L38" s="23"/>
      <c r="M38" s="23"/>
      <c r="N38" s="23"/>
      <c r="O38" s="23"/>
      <c r="P38" s="4"/>
      <c r="Q38" s="4"/>
      <c r="R38" s="4"/>
      <c r="S38" s="4"/>
      <c r="T38" s="4"/>
      <c r="U38" s="4"/>
    </row>
    <row r="39" spans="1:21">
      <c r="A39" s="6" t="s">
        <v>308</v>
      </c>
      <c r="B39" s="4"/>
      <c r="C39" s="4"/>
      <c r="D39" s="4"/>
      <c r="E39" s="4"/>
      <c r="F39" s="4"/>
      <c r="G39" s="4"/>
      <c r="H39" s="4"/>
      <c r="I39" s="4"/>
      <c r="J39" s="4"/>
      <c r="K39" s="23"/>
      <c r="L39" s="23"/>
      <c r="M39" s="23"/>
      <c r="N39" s="23"/>
      <c r="O39" s="23"/>
      <c r="P39" s="4"/>
      <c r="Q39" s="4"/>
      <c r="R39" s="4"/>
      <c r="S39" s="4"/>
      <c r="T39" s="4"/>
      <c r="U39" s="4"/>
    </row>
    <row r="40" spans="1:21" ht="15" customHeight="1">
      <c r="A40" s="213" t="s">
        <v>467</v>
      </c>
      <c r="B40" s="213"/>
      <c r="C40" s="213"/>
      <c r="D40" s="213"/>
      <c r="E40" s="258"/>
      <c r="F40" s="259"/>
      <c r="G40" s="259"/>
      <c r="H40" s="259"/>
      <c r="I40" s="259"/>
      <c r="J40" s="4"/>
      <c r="K40" s="23"/>
      <c r="L40" s="23"/>
      <c r="M40" s="23"/>
      <c r="N40" s="23"/>
      <c r="O40" s="23"/>
      <c r="P40" s="4"/>
      <c r="Q40" s="4"/>
      <c r="R40" s="4"/>
      <c r="S40" s="4"/>
      <c r="T40" s="4"/>
      <c r="U40" s="4"/>
    </row>
    <row r="41" spans="1:21">
      <c r="A41" s="213"/>
      <c r="B41" s="213"/>
      <c r="C41" s="213"/>
      <c r="D41" s="213"/>
      <c r="E41" s="258"/>
      <c r="F41" s="259"/>
      <c r="G41" s="259"/>
      <c r="H41" s="259"/>
      <c r="I41" s="259"/>
      <c r="J41" s="4"/>
      <c r="K41" s="23"/>
      <c r="L41" s="23"/>
      <c r="M41" s="23"/>
      <c r="N41" s="23"/>
      <c r="O41" s="23"/>
      <c r="P41" s="4"/>
      <c r="Q41" s="4"/>
      <c r="R41" s="4"/>
      <c r="S41" s="4"/>
      <c r="T41" s="4"/>
      <c r="U41" s="4"/>
    </row>
    <row r="42" spans="1:21">
      <c r="A42" s="9"/>
      <c r="B42" s="9"/>
      <c r="C42" s="9"/>
      <c r="D42" s="9"/>
      <c r="E42" s="9"/>
      <c r="F42" s="259"/>
      <c r="G42" s="259"/>
      <c r="H42" s="259"/>
      <c r="I42" s="259"/>
      <c r="J42" s="4"/>
      <c r="K42" s="23"/>
      <c r="L42" s="23"/>
      <c r="M42" s="23"/>
      <c r="N42" s="23"/>
      <c r="O42" s="23"/>
      <c r="P42" s="4"/>
      <c r="Q42" s="4"/>
      <c r="R42" s="4"/>
      <c r="S42" s="4"/>
      <c r="T42" s="4"/>
      <c r="U42" s="4"/>
    </row>
    <row r="43" spans="1:21">
      <c r="A43" s="9"/>
      <c r="B43" s="9"/>
      <c r="C43" s="9"/>
      <c r="D43" s="9"/>
      <c r="E43" s="9"/>
      <c r="F43" s="23"/>
      <c r="G43" s="23"/>
      <c r="H43" s="23"/>
      <c r="I43" s="23"/>
      <c r="J43" s="4"/>
      <c r="K43" s="23"/>
      <c r="L43" s="23"/>
      <c r="M43" s="23"/>
      <c r="N43" s="23"/>
      <c r="O43" s="23"/>
      <c r="P43" s="4"/>
      <c r="Q43" s="4"/>
      <c r="R43" s="4"/>
      <c r="S43" s="4"/>
      <c r="T43" s="4"/>
      <c r="U43" s="4"/>
    </row>
    <row r="44" spans="1:21" ht="15" customHeight="1">
      <c r="A44" s="213" t="s">
        <v>432</v>
      </c>
      <c r="B44" s="213"/>
      <c r="C44" s="213"/>
      <c r="D44" s="213"/>
      <c r="E44" s="213"/>
      <c r="F44" s="264" t="str" cm="1">
        <f t="array" aca="1" ref="F44" ca="1">IF('3. Consequence and Risk'!N45="Please answer all questions","Not yet applicable", IF(OR('3. Consequence and Risk'!N45="MEDIUM",'3. Consequence and Risk'!N45="LOW",'3. Consequence and Risk'!N45="NEGLIGIBLE"),IF(INDIRECT("'"&amp;"Drop Down Options"&amp;"'!"&amp;ADDRESS(K44,K45))&lt;20,"The benefits of restoration are likely to exceed the risks associated with landslides","The impacts of potential slope instability may equal or exceed the benefits of restoration"),"The impacts of potential slope instability may equal or exceed the benefits of restoration"))</f>
        <v>Not yet applicable</v>
      </c>
      <c r="G44" s="265"/>
      <c r="H44" s="265"/>
      <c r="I44" s="266"/>
      <c r="J44" s="4"/>
      <c r="K44" s="23"/>
      <c r="L44" s="23"/>
      <c r="M44" s="23"/>
      <c r="N44" s="23"/>
      <c r="O44" s="23"/>
      <c r="P44" s="4"/>
      <c r="Q44" s="4"/>
      <c r="R44" s="4"/>
      <c r="S44" s="4"/>
      <c r="T44" s="4"/>
      <c r="U44" s="4"/>
    </row>
    <row r="45" spans="1:21">
      <c r="A45" s="213"/>
      <c r="B45" s="213"/>
      <c r="C45" s="213"/>
      <c r="D45" s="213"/>
      <c r="E45" s="213"/>
      <c r="F45" s="267"/>
      <c r="G45" s="268"/>
      <c r="H45" s="268"/>
      <c r="I45" s="269"/>
      <c r="J45" s="4"/>
      <c r="K45" s="23"/>
      <c r="L45" s="23"/>
      <c r="M45" s="23"/>
      <c r="N45" s="23"/>
      <c r="O45" s="23"/>
      <c r="P45" s="4"/>
      <c r="Q45" s="4"/>
      <c r="R45" s="4"/>
      <c r="S45" s="4"/>
      <c r="T45" s="4"/>
      <c r="U45" s="4"/>
    </row>
    <row r="46" spans="1:21">
      <c r="A46" s="30"/>
      <c r="B46" s="30"/>
      <c r="C46" s="30"/>
      <c r="D46" s="30"/>
      <c r="E46" s="30"/>
      <c r="F46" s="30"/>
      <c r="G46" s="30"/>
      <c r="H46" s="30"/>
      <c r="I46" s="30"/>
      <c r="J46" s="4"/>
      <c r="K46" s="23"/>
      <c r="L46" s="23"/>
      <c r="M46" s="23"/>
      <c r="N46" s="23"/>
      <c r="O46" s="23"/>
      <c r="P46" s="4"/>
      <c r="Q46" s="4"/>
      <c r="R46" s="4"/>
      <c r="S46" s="4"/>
      <c r="T46" s="4"/>
      <c r="U46" s="4"/>
    </row>
    <row r="47" spans="1:21">
      <c r="A47" s="4"/>
      <c r="B47" s="4"/>
      <c r="C47" s="4"/>
      <c r="D47" s="4"/>
      <c r="E47" s="4"/>
      <c r="F47" s="4"/>
      <c r="G47" s="4"/>
      <c r="H47" s="4"/>
      <c r="I47" s="4"/>
      <c r="J47" s="4"/>
      <c r="K47" s="23"/>
      <c r="L47" s="23"/>
      <c r="M47" s="23"/>
      <c r="N47" s="23"/>
      <c r="O47" s="23"/>
      <c r="P47" s="4"/>
      <c r="Q47" s="4"/>
      <c r="R47" s="4"/>
      <c r="S47" s="4"/>
      <c r="T47" s="4"/>
      <c r="U47" s="4"/>
    </row>
    <row r="48" spans="1:21">
      <c r="A48" s="6" t="s">
        <v>428</v>
      </c>
      <c r="B48" s="4"/>
      <c r="C48" s="4"/>
      <c r="D48" s="4"/>
      <c r="E48" s="4"/>
      <c r="F48" s="4"/>
      <c r="G48" s="4"/>
      <c r="H48" s="4"/>
      <c r="I48" s="4"/>
      <c r="J48" s="4"/>
      <c r="K48" s="23"/>
      <c r="L48" s="23"/>
      <c r="M48" s="23"/>
      <c r="N48" s="23"/>
      <c r="O48" s="23"/>
      <c r="P48" s="23"/>
      <c r="Q48" s="23"/>
      <c r="R48" s="23"/>
      <c r="S48" s="4"/>
      <c r="T48" s="4"/>
      <c r="U48" s="4"/>
    </row>
    <row r="49" spans="1:21">
      <c r="A49" s="262" t="s">
        <v>429</v>
      </c>
      <c r="B49" s="262"/>
      <c r="C49" s="262"/>
      <c r="D49" s="262"/>
      <c r="E49" s="262"/>
      <c r="F49" s="262"/>
      <c r="G49" s="262"/>
      <c r="H49" s="262"/>
      <c r="I49" s="262"/>
      <c r="K49" s="207"/>
      <c r="L49" s="207"/>
      <c r="M49" s="207"/>
      <c r="N49" s="23"/>
      <c r="O49" s="23"/>
      <c r="P49" s="23"/>
      <c r="Q49" s="23"/>
      <c r="R49" s="23"/>
      <c r="S49" s="4"/>
      <c r="T49" s="4"/>
      <c r="U49" s="4"/>
    </row>
    <row r="50" spans="1:21">
      <c r="A50" s="262"/>
      <c r="B50" s="262"/>
      <c r="C50" s="262"/>
      <c r="D50" s="262"/>
      <c r="E50" s="262"/>
      <c r="F50" s="262"/>
      <c r="G50" s="262"/>
      <c r="H50" s="262"/>
      <c r="I50" s="262"/>
      <c r="K50" s="207"/>
      <c r="L50" s="207"/>
      <c r="M50" s="207"/>
      <c r="N50" s="23"/>
      <c r="O50" s="23"/>
      <c r="P50" s="23"/>
      <c r="Q50" s="23"/>
      <c r="R50" s="23"/>
      <c r="S50" s="4"/>
      <c r="T50" s="4"/>
      <c r="U50" s="4"/>
    </row>
    <row r="51" spans="1:21">
      <c r="A51" s="262"/>
      <c r="B51" s="262"/>
      <c r="C51" s="262"/>
      <c r="D51" s="262"/>
      <c r="E51" s="262"/>
      <c r="F51" s="262"/>
      <c r="G51" s="262"/>
      <c r="H51" s="262"/>
      <c r="I51" s="262"/>
      <c r="K51" s="207"/>
      <c r="L51" s="207"/>
      <c r="M51" s="207"/>
      <c r="N51" s="23"/>
      <c r="O51" s="23"/>
      <c r="P51" s="23"/>
      <c r="Q51" s="23"/>
      <c r="R51" s="23"/>
      <c r="S51" s="4"/>
      <c r="T51" s="4"/>
      <c r="U51" s="4"/>
    </row>
    <row r="52" spans="1:21">
      <c r="A52" s="262"/>
      <c r="B52" s="262"/>
      <c r="C52" s="262"/>
      <c r="D52" s="262"/>
      <c r="E52" s="262"/>
      <c r="F52" s="262"/>
      <c r="G52" s="262"/>
      <c r="H52" s="262"/>
      <c r="I52" s="262"/>
      <c r="K52" s="207"/>
      <c r="L52" s="207"/>
      <c r="M52" s="207"/>
      <c r="N52" s="23"/>
      <c r="O52" s="23"/>
      <c r="P52" s="23"/>
      <c r="Q52" s="23"/>
      <c r="R52" s="23"/>
      <c r="S52" s="4"/>
      <c r="T52" s="4"/>
      <c r="U52" s="4"/>
    </row>
    <row r="53" spans="1:21">
      <c r="A53" s="262"/>
      <c r="B53" s="262"/>
      <c r="C53" s="262"/>
      <c r="D53" s="262"/>
      <c r="E53" s="262"/>
      <c r="F53" s="262"/>
      <c r="G53" s="262"/>
      <c r="H53" s="262"/>
      <c r="I53" s="262"/>
      <c r="K53" s="207"/>
      <c r="L53" s="207"/>
      <c r="M53" s="207"/>
      <c r="N53" s="23"/>
      <c r="O53" s="23"/>
      <c r="P53" s="23"/>
      <c r="Q53" s="23"/>
      <c r="R53" s="23"/>
      <c r="S53" s="4"/>
      <c r="T53" s="4"/>
      <c r="U53" s="4"/>
    </row>
    <row r="54" spans="1:21">
      <c r="A54" s="4" t="s">
        <v>298</v>
      </c>
      <c r="B54" s="4"/>
      <c r="C54" s="4" t="str">
        <f ca="1">MID(CELL("filename"),SEARCH("[",CELL("filename"))+1, SEARCH("]",CELL("filename"))-SEARCH("[",CELL("filename"))-1)</f>
        <v>PeatlandACTION Blanket Bog Protocol v1.4 ISSUE - March 2024 Compressed.xlsx</v>
      </c>
      <c r="D54" s="4"/>
      <c r="E54" s="4"/>
      <c r="F54" s="4"/>
      <c r="G54" s="4"/>
      <c r="H54" s="4"/>
      <c r="I54" s="4"/>
      <c r="J54" s="4"/>
      <c r="K54" s="4"/>
      <c r="L54" s="4"/>
      <c r="M54" s="4"/>
      <c r="N54" s="4"/>
      <c r="O54" s="4"/>
      <c r="P54" s="4"/>
      <c r="Q54" s="4"/>
      <c r="R54" s="4"/>
      <c r="S54" s="4"/>
      <c r="T54" s="4"/>
      <c r="U54" s="4"/>
    </row>
    <row r="55" spans="1:21">
      <c r="A55" s="4"/>
      <c r="B55" s="4"/>
      <c r="C55" s="4"/>
      <c r="D55" s="4"/>
      <c r="E55" s="4"/>
      <c r="F55" s="4"/>
      <c r="G55" s="4"/>
      <c r="H55" s="4"/>
      <c r="I55" s="4"/>
      <c r="J55" s="4"/>
      <c r="K55" s="4"/>
      <c r="L55" s="4"/>
      <c r="M55" s="4"/>
      <c r="N55" s="4"/>
      <c r="O55" s="4"/>
      <c r="P55" s="4"/>
      <c r="Q55" s="4"/>
      <c r="R55" s="4"/>
      <c r="S55" s="4"/>
      <c r="T55" s="4"/>
      <c r="U55" s="4"/>
    </row>
    <row r="56" spans="1:21">
      <c r="A56" s="4"/>
      <c r="B56" s="4"/>
      <c r="C56" s="4"/>
      <c r="D56" s="4"/>
      <c r="E56" s="4"/>
      <c r="F56" s="4"/>
      <c r="G56" s="4"/>
      <c r="H56" s="4"/>
      <c r="I56" s="4"/>
      <c r="J56" s="4"/>
      <c r="K56" s="4"/>
      <c r="L56" s="4"/>
      <c r="M56" s="4"/>
      <c r="N56" s="4"/>
      <c r="O56" s="4"/>
      <c r="P56" s="4"/>
      <c r="Q56" s="4"/>
      <c r="R56" s="4"/>
      <c r="S56" s="4"/>
      <c r="T56" s="4"/>
      <c r="U56" s="4"/>
    </row>
    <row r="57" spans="1:21">
      <c r="A57" s="4"/>
      <c r="B57" s="4"/>
      <c r="C57" s="4"/>
      <c r="D57" s="4"/>
      <c r="E57" s="4"/>
      <c r="F57" s="4"/>
      <c r="G57" s="4"/>
      <c r="H57" s="4"/>
      <c r="I57" s="4"/>
      <c r="J57" s="4"/>
      <c r="K57" s="4"/>
      <c r="L57" s="4"/>
      <c r="M57" s="4"/>
      <c r="N57" s="4"/>
      <c r="O57" s="4"/>
      <c r="P57" s="4"/>
      <c r="Q57" s="4"/>
      <c r="R57" s="4"/>
      <c r="S57" s="4"/>
      <c r="T57" s="4"/>
      <c r="U57" s="4"/>
    </row>
    <row r="58" spans="1:21">
      <c r="A58" s="4"/>
      <c r="B58" s="4"/>
      <c r="C58" s="4"/>
      <c r="D58" s="4"/>
      <c r="E58" s="4"/>
      <c r="F58" s="4"/>
      <c r="G58" s="4"/>
      <c r="H58" s="4"/>
      <c r="I58" s="4"/>
      <c r="J58" s="4"/>
      <c r="K58" s="4"/>
      <c r="L58" s="4"/>
      <c r="M58" s="4"/>
      <c r="N58" s="4"/>
      <c r="O58" s="4"/>
      <c r="P58" s="4"/>
      <c r="Q58" s="4"/>
      <c r="R58" s="4"/>
      <c r="S58" s="4"/>
      <c r="T58" s="4"/>
      <c r="U58" s="4"/>
    </row>
    <row r="59" spans="1:21">
      <c r="A59" s="4"/>
      <c r="B59" s="4"/>
      <c r="C59" s="4"/>
      <c r="D59" s="4"/>
      <c r="E59" s="4"/>
      <c r="F59" s="4"/>
      <c r="G59" s="4"/>
      <c r="H59" s="4"/>
      <c r="I59" s="4"/>
      <c r="J59" s="4"/>
      <c r="K59" s="4"/>
      <c r="L59" s="4"/>
      <c r="M59" s="4"/>
      <c r="N59" s="4"/>
      <c r="O59" s="4"/>
      <c r="P59" s="4"/>
      <c r="Q59" s="4"/>
      <c r="R59" s="4"/>
      <c r="S59" s="4"/>
      <c r="T59" s="4"/>
      <c r="U59" s="4"/>
    </row>
  </sheetData>
  <sheetProtection algorithmName="SHA-512" hashValue="bAANWZCecvdnElDOjilkwYsvbAY5Zxer1mtJYIy2ooVBToS95Z4eZQk6i5hNceW4bm9GI1xbef3Ky9OuF35Qdg==" saltValue="+Scn1zxXho3gJzoc6vPPFg==" spinCount="100000" sheet="1" objects="1" scenarios="1"/>
  <mergeCells count="31">
    <mergeCell ref="A49:I53"/>
    <mergeCell ref="G21:I21"/>
    <mergeCell ref="H26:I26"/>
    <mergeCell ref="G22:I22"/>
    <mergeCell ref="G23:I23"/>
    <mergeCell ref="G24:I24"/>
    <mergeCell ref="F41:I41"/>
    <mergeCell ref="F40:I40"/>
    <mergeCell ref="A33:I33"/>
    <mergeCell ref="A44:E45"/>
    <mergeCell ref="F44:I45"/>
    <mergeCell ref="F42:I42"/>
    <mergeCell ref="G19:I19"/>
    <mergeCell ref="A40:E41"/>
    <mergeCell ref="A34:I34"/>
    <mergeCell ref="A35:I35"/>
    <mergeCell ref="D13:F13"/>
    <mergeCell ref="D14:F14"/>
    <mergeCell ref="A36:I36"/>
    <mergeCell ref="A37:I37"/>
    <mergeCell ref="H27:I27"/>
    <mergeCell ref="H30:I30"/>
    <mergeCell ref="D9:F9"/>
    <mergeCell ref="D10:F10"/>
    <mergeCell ref="D11:F11"/>
    <mergeCell ref="A1:F2"/>
    <mergeCell ref="G18:I18"/>
    <mergeCell ref="D4:F4"/>
    <mergeCell ref="D5:F5"/>
    <mergeCell ref="D6:F6"/>
    <mergeCell ref="D7:F7"/>
  </mergeCells>
  <pageMargins left="0.70866141732283472" right="0.70866141732283472" top="0.55118110236220474"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'Drop Down Options'!$V$10:$V$11</xm:f>
          </x14:formula1>
          <xm:sqref>H30:I30</xm:sqref>
        </x14:dataValidation>
        <x14:dataValidation type="list" allowBlank="1" showInputMessage="1" showErrorMessage="1" xr:uid="{00000000-0002-0000-0400-000001000000}">
          <x14:formula1>
            <xm:f>'Drop Down Options'!$U$17:$U$28</xm:f>
          </x14:formula1>
          <xm:sqref>D13:F13</xm:sqref>
        </x14:dataValidation>
        <x14:dataValidation type="list" allowBlank="1" showInputMessage="1" showErrorMessage="1" xr:uid="{00000000-0002-0000-0400-000002000000}">
          <x14:formula1>
            <xm:f>'Drop Down Options'!$V$16:$AB$16</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24"/>
  <sheetViews>
    <sheetView topLeftCell="A10" workbookViewId="0">
      <selection activeCell="K21" sqref="K21"/>
    </sheetView>
  </sheetViews>
  <sheetFormatPr defaultRowHeight="15"/>
  <cols>
    <col min="3" max="3" width="15.28515625" customWidth="1"/>
    <col min="4" max="4" width="34.140625" customWidth="1"/>
    <col min="5" max="5" width="18.42578125" customWidth="1"/>
    <col min="6" max="6" width="19.5703125" customWidth="1"/>
    <col min="7" max="9" width="15.7109375" customWidth="1"/>
    <col min="10" max="10" width="13.140625" customWidth="1"/>
    <col min="11" max="11" width="10.140625" customWidth="1"/>
    <col min="14" max="14" width="16.140625" customWidth="1"/>
    <col min="15" max="15" width="18.140625" customWidth="1"/>
    <col min="16" max="16" width="19.28515625" customWidth="1"/>
    <col min="17" max="17" width="91.28515625" customWidth="1"/>
    <col min="18" max="19" width="29.42578125" bestFit="1" customWidth="1"/>
    <col min="20" max="20" width="80.140625" customWidth="1"/>
    <col min="21" max="21" width="22.5703125" customWidth="1"/>
    <col min="22" max="28" width="11.7109375" customWidth="1"/>
  </cols>
  <sheetData>
    <row r="1" spans="1:28">
      <c r="A1" s="1" t="s">
        <v>345</v>
      </c>
    </row>
    <row r="2" spans="1:28">
      <c r="A2" t="s">
        <v>346</v>
      </c>
    </row>
    <row r="4" spans="1:28">
      <c r="A4" s="110" t="s">
        <v>62</v>
      </c>
      <c r="B4" s="92"/>
      <c r="C4" s="92"/>
      <c r="D4" s="92"/>
      <c r="E4" s="92"/>
      <c r="F4" s="92"/>
      <c r="G4" s="92"/>
      <c r="H4" s="111" t="s">
        <v>61</v>
      </c>
      <c r="I4" s="92"/>
      <c r="J4" s="92"/>
      <c r="K4" s="92"/>
      <c r="L4" s="92"/>
      <c r="M4" s="92"/>
      <c r="N4" s="92"/>
      <c r="O4" s="92"/>
      <c r="P4" s="111" t="s">
        <v>126</v>
      </c>
      <c r="Q4" s="92"/>
      <c r="R4" s="92"/>
      <c r="S4" s="92"/>
      <c r="U4" s="110" t="s">
        <v>313</v>
      </c>
      <c r="V4" s="92"/>
    </row>
    <row r="5" spans="1:28">
      <c r="A5" s="1"/>
      <c r="H5" s="108"/>
      <c r="P5" s="109"/>
    </row>
    <row r="6" spans="1:28">
      <c r="A6" s="100" t="s">
        <v>344</v>
      </c>
      <c r="B6" s="101"/>
      <c r="C6" s="101"/>
      <c r="D6" s="60"/>
      <c r="E6" s="59" t="s">
        <v>28</v>
      </c>
      <c r="F6" s="59" t="s">
        <v>29</v>
      </c>
      <c r="H6" s="109"/>
      <c r="P6" s="113" t="s">
        <v>132</v>
      </c>
      <c r="Q6" s="101"/>
      <c r="R6" s="60" t="s">
        <v>5</v>
      </c>
    </row>
    <row r="7" spans="1:28">
      <c r="A7" s="97"/>
      <c r="D7" s="60" t="s">
        <v>5</v>
      </c>
      <c r="E7" s="61">
        <v>4</v>
      </c>
      <c r="F7" s="61">
        <v>4</v>
      </c>
      <c r="H7" s="109"/>
      <c r="P7" s="108"/>
      <c r="R7" s="60" t="s">
        <v>6</v>
      </c>
    </row>
    <row r="8" spans="1:28">
      <c r="A8" s="1"/>
      <c r="D8" s="60" t="s">
        <v>6</v>
      </c>
      <c r="E8" s="61">
        <v>0</v>
      </c>
      <c r="F8" s="61">
        <v>0</v>
      </c>
      <c r="H8" s="109"/>
      <c r="P8" s="108"/>
    </row>
    <row r="9" spans="1:28">
      <c r="P9" s="113" t="s">
        <v>324</v>
      </c>
      <c r="Q9" s="101"/>
      <c r="R9" s="60" t="s">
        <v>5</v>
      </c>
      <c r="U9" s="1" t="s">
        <v>303</v>
      </c>
    </row>
    <row r="10" spans="1:28">
      <c r="A10" s="1"/>
      <c r="P10" s="109"/>
      <c r="R10" s="60" t="s">
        <v>6</v>
      </c>
      <c r="V10" t="s">
        <v>305</v>
      </c>
    </row>
    <row r="11" spans="1:28">
      <c r="A11" s="100" t="s">
        <v>340</v>
      </c>
      <c r="B11" s="101"/>
      <c r="C11" s="101"/>
      <c r="D11" s="98" t="s">
        <v>151</v>
      </c>
      <c r="E11" s="271" t="s">
        <v>152</v>
      </c>
      <c r="F11" s="271"/>
      <c r="G11" s="271"/>
      <c r="H11" s="59" t="s">
        <v>28</v>
      </c>
      <c r="I11" s="59" t="s">
        <v>29</v>
      </c>
      <c r="J11" s="59" t="s">
        <v>228</v>
      </c>
      <c r="P11" s="113" t="s">
        <v>14</v>
      </c>
      <c r="Q11" s="101"/>
      <c r="V11" t="s">
        <v>306</v>
      </c>
    </row>
    <row r="12" spans="1:28">
      <c r="A12" s="97"/>
      <c r="D12" s="99" t="s">
        <v>120</v>
      </c>
      <c r="E12" s="74">
        <v>0</v>
      </c>
      <c r="F12" s="74">
        <f>(TAN(RADIANS(2.5)))*100</f>
        <v>4.3660942908512057</v>
      </c>
      <c r="G12" s="61" t="str">
        <f t="shared" ref="G12:G17" si="0">ROUND(E12,1) &amp; " - " &amp; ROUND(F12,1)</f>
        <v>0 - 4.4</v>
      </c>
      <c r="H12" s="61">
        <v>1</v>
      </c>
      <c r="I12" s="61">
        <v>3</v>
      </c>
      <c r="J12" s="61">
        <v>2.5</v>
      </c>
      <c r="P12" s="109"/>
      <c r="Q12" s="67" t="s">
        <v>394</v>
      </c>
      <c r="R12" s="67" t="s">
        <v>3</v>
      </c>
    </row>
    <row r="13" spans="1:28">
      <c r="A13" s="97"/>
      <c r="D13" s="99" t="s">
        <v>115</v>
      </c>
      <c r="E13" s="74">
        <f>(TAN(RADIANS(2.5)))*100</f>
        <v>4.3660942908512057</v>
      </c>
      <c r="F13" s="74">
        <f>(TAN(RADIANS(5)))*100</f>
        <v>8.7488663525924011</v>
      </c>
      <c r="G13" s="61" t="str">
        <f t="shared" si="0"/>
        <v>4.4 - 8.7</v>
      </c>
      <c r="H13" s="61">
        <v>1</v>
      </c>
      <c r="I13" s="61">
        <v>3</v>
      </c>
      <c r="J13" s="61">
        <v>5</v>
      </c>
      <c r="P13" s="109"/>
      <c r="Q13" s="67" t="s">
        <v>384</v>
      </c>
      <c r="R13" s="67" t="s">
        <v>3</v>
      </c>
    </row>
    <row r="14" spans="1:28">
      <c r="A14" s="1"/>
      <c r="D14" s="99" t="s">
        <v>116</v>
      </c>
      <c r="E14" s="74">
        <f>(TAN(RADIANS(5)))*100</f>
        <v>8.7488663525924011</v>
      </c>
      <c r="F14" s="74">
        <f>(TAN(RADIANS(7.5)))*100</f>
        <v>13.165249758739584</v>
      </c>
      <c r="G14" s="61" t="str">
        <f t="shared" si="0"/>
        <v>8.7 - 13.2</v>
      </c>
      <c r="H14" s="61">
        <v>3</v>
      </c>
      <c r="I14" s="61">
        <v>2</v>
      </c>
      <c r="J14" s="61">
        <v>7.5</v>
      </c>
      <c r="P14" s="109"/>
      <c r="Q14" s="67" t="s">
        <v>385</v>
      </c>
      <c r="R14" s="67" t="s">
        <v>17</v>
      </c>
    </row>
    <row r="15" spans="1:28">
      <c r="A15" s="1"/>
      <c r="D15" s="99" t="s">
        <v>119</v>
      </c>
      <c r="E15" s="74">
        <f>(TAN(RADIANS(7.5)))*100</f>
        <v>13.165249758739584</v>
      </c>
      <c r="F15" s="74">
        <f>(TAN(RADIANS(10)))*100</f>
        <v>17.632698070846498</v>
      </c>
      <c r="G15" s="61" t="str">
        <f t="shared" si="0"/>
        <v>13.2 - 17.6</v>
      </c>
      <c r="H15" s="61">
        <v>3</v>
      </c>
      <c r="I15" s="61">
        <v>1</v>
      </c>
      <c r="J15" s="61">
        <v>10</v>
      </c>
      <c r="P15" s="109"/>
      <c r="Q15" s="67" t="s">
        <v>6</v>
      </c>
      <c r="R15" s="67"/>
      <c r="U15" s="2"/>
      <c r="V15" s="156">
        <v>35125</v>
      </c>
      <c r="W15" s="156">
        <v>70250</v>
      </c>
      <c r="X15" s="156">
        <v>95250</v>
      </c>
      <c r="Y15" s="156">
        <v>120250</v>
      </c>
      <c r="Z15" s="156">
        <v>145250</v>
      </c>
      <c r="AA15" s="156">
        <v>170250</v>
      </c>
      <c r="AB15" s="156">
        <v>220250</v>
      </c>
    </row>
    <row r="16" spans="1:28">
      <c r="A16" s="97"/>
      <c r="D16" s="99" t="s">
        <v>117</v>
      </c>
      <c r="E16" s="74">
        <f>(TAN(RADIANS(10)))*100</f>
        <v>17.632698070846498</v>
      </c>
      <c r="F16" s="74">
        <f>(TAN(RADIANS(12.5)))*100</f>
        <v>22.169466264293987</v>
      </c>
      <c r="G16" s="61" t="str">
        <f t="shared" si="0"/>
        <v>17.6 - 22.2</v>
      </c>
      <c r="H16" s="61">
        <v>3</v>
      </c>
      <c r="I16" s="61">
        <v>1</v>
      </c>
      <c r="J16" s="61">
        <v>12.5</v>
      </c>
      <c r="P16" s="109"/>
      <c r="Q16" s="60" t="s">
        <v>395</v>
      </c>
      <c r="R16" s="60" t="s">
        <v>18</v>
      </c>
      <c r="U16" s="149" t="s">
        <v>404</v>
      </c>
      <c r="V16" s="149" t="s">
        <v>114</v>
      </c>
      <c r="W16" s="157" t="s">
        <v>96</v>
      </c>
      <c r="X16" s="149" t="s">
        <v>95</v>
      </c>
      <c r="Y16" s="149" t="s">
        <v>97</v>
      </c>
      <c r="Z16" s="149" t="s">
        <v>98</v>
      </c>
      <c r="AA16" s="149" t="s">
        <v>99</v>
      </c>
      <c r="AB16" s="149" t="s">
        <v>431</v>
      </c>
    </row>
    <row r="17" spans="1:28">
      <c r="A17" s="97"/>
      <c r="D17" s="99" t="s">
        <v>118</v>
      </c>
      <c r="E17" s="74">
        <f>(TAN(RADIANS(12.5)))*100</f>
        <v>22.169466264293987</v>
      </c>
      <c r="F17" s="74">
        <f>(TAN(RADIANS(15)))*100</f>
        <v>26.794919243112268</v>
      </c>
      <c r="G17" s="61" t="str">
        <f t="shared" si="0"/>
        <v>22.2 - 26.8</v>
      </c>
      <c r="H17" s="61">
        <v>3</v>
      </c>
      <c r="I17" s="61">
        <v>1</v>
      </c>
      <c r="J17" s="61">
        <v>15</v>
      </c>
      <c r="P17" s="109"/>
      <c r="Q17" s="60" t="s">
        <v>396</v>
      </c>
      <c r="R17" s="60" t="s">
        <v>17</v>
      </c>
      <c r="U17" s="2" t="s">
        <v>415</v>
      </c>
      <c r="V17" s="150">
        <v>117.08333333333334</v>
      </c>
      <c r="W17" s="150">
        <v>117.08333333333334</v>
      </c>
      <c r="X17" s="150">
        <v>158.75</v>
      </c>
      <c r="Y17" s="150">
        <v>200.41666666666669</v>
      </c>
      <c r="Z17" s="150">
        <v>242.08333333333334</v>
      </c>
      <c r="AA17" s="150">
        <v>283.75</v>
      </c>
      <c r="AB17" s="150">
        <v>367.08333333333331</v>
      </c>
    </row>
    <row r="18" spans="1:28">
      <c r="A18" s="97"/>
      <c r="D18" s="99" t="s">
        <v>121</v>
      </c>
      <c r="E18" s="74">
        <f>(TAN(RADIANS(12)))*100</f>
        <v>21.255656167002211</v>
      </c>
      <c r="F18" s="74">
        <v>0</v>
      </c>
      <c r="G18" s="61" t="str">
        <f>"&gt; " &amp;ROUND(E18,1)</f>
        <v>&gt; 21.3</v>
      </c>
      <c r="H18" s="61">
        <v>3</v>
      </c>
      <c r="I18" s="61">
        <v>1</v>
      </c>
      <c r="J18" s="61" t="s">
        <v>338</v>
      </c>
      <c r="P18" s="109"/>
      <c r="Q18" s="60" t="s">
        <v>391</v>
      </c>
      <c r="R18" s="60" t="s">
        <v>18</v>
      </c>
      <c r="U18" s="2" t="s">
        <v>416</v>
      </c>
      <c r="V18" s="158">
        <v>23.416666666666668</v>
      </c>
      <c r="W18" s="158">
        <v>23.416666666666668</v>
      </c>
      <c r="X18" s="158">
        <v>31.75</v>
      </c>
      <c r="Y18" s="150">
        <v>40.083333333333329</v>
      </c>
      <c r="Z18" s="150">
        <v>48.416666666666671</v>
      </c>
      <c r="AA18" s="150">
        <v>56.75</v>
      </c>
      <c r="AB18" s="150">
        <v>73.416666666666657</v>
      </c>
    </row>
    <row r="19" spans="1:28">
      <c r="A19" s="1"/>
      <c r="P19" s="109"/>
      <c r="Q19" s="60" t="s">
        <v>392</v>
      </c>
      <c r="R19" s="147" t="s">
        <v>3</v>
      </c>
      <c r="U19" s="2" t="s">
        <v>417</v>
      </c>
      <c r="V19" s="150">
        <v>11.708333333333334</v>
      </c>
      <c r="W19" s="150">
        <v>11.708333333333334</v>
      </c>
      <c r="X19" s="150">
        <v>15.875</v>
      </c>
      <c r="Y19" s="159">
        <v>20.041666666666664</v>
      </c>
      <c r="Z19" s="158">
        <v>24.208333333333336</v>
      </c>
      <c r="AA19" s="158">
        <v>28.375</v>
      </c>
      <c r="AB19" s="158">
        <v>36.708333333333329</v>
      </c>
    </row>
    <row r="20" spans="1:28">
      <c r="A20" s="100" t="s">
        <v>94</v>
      </c>
      <c r="B20" s="101"/>
      <c r="C20" s="101"/>
      <c r="D20" s="98" t="s">
        <v>229</v>
      </c>
      <c r="E20" s="98" t="s">
        <v>28</v>
      </c>
      <c r="F20" s="98" t="s">
        <v>29</v>
      </c>
      <c r="G20" s="145" t="s">
        <v>227</v>
      </c>
      <c r="H20" s="113" t="s">
        <v>388</v>
      </c>
      <c r="I20" s="101"/>
      <c r="J20" s="101"/>
      <c r="K20" s="60"/>
      <c r="L20" s="61"/>
      <c r="M20" s="120"/>
      <c r="N20" s="121"/>
      <c r="P20" s="113" t="s">
        <v>15</v>
      </c>
      <c r="Q20" s="60" t="s">
        <v>134</v>
      </c>
      <c r="R20" s="60" t="s">
        <v>3</v>
      </c>
      <c r="U20" s="2" t="s">
        <v>418</v>
      </c>
      <c r="V20" s="150">
        <v>5.854166666666667</v>
      </c>
      <c r="W20" s="150">
        <v>5.854166666666667</v>
      </c>
      <c r="X20" s="150">
        <v>7.9375</v>
      </c>
      <c r="Y20" s="150">
        <v>10.020833333333332</v>
      </c>
      <c r="Z20" s="150">
        <v>12.104166666666668</v>
      </c>
      <c r="AA20" s="150">
        <v>14.1875</v>
      </c>
      <c r="AB20" s="150">
        <v>18.354166666666664</v>
      </c>
    </row>
    <row r="21" spans="1:28">
      <c r="A21" s="97"/>
      <c r="D21" s="60" t="s">
        <v>114</v>
      </c>
      <c r="E21" s="61">
        <v>0</v>
      </c>
      <c r="F21" s="61">
        <v>0</v>
      </c>
      <c r="G21" s="130">
        <v>0.5</v>
      </c>
      <c r="H21" s="109"/>
      <c r="I21" s="60"/>
      <c r="J21" s="125" t="s">
        <v>68</v>
      </c>
      <c r="K21" s="123" t="s">
        <v>5</v>
      </c>
      <c r="L21" s="61">
        <v>1</v>
      </c>
      <c r="M21" s="60" t="s">
        <v>359</v>
      </c>
      <c r="N21" s="60"/>
      <c r="P21" s="108"/>
      <c r="Q21" s="60" t="s">
        <v>399</v>
      </c>
      <c r="R21" s="60" t="s">
        <v>18</v>
      </c>
      <c r="U21" s="2" t="s">
        <v>419</v>
      </c>
      <c r="V21" s="150">
        <v>3.9027777777777781</v>
      </c>
      <c r="W21" s="150">
        <v>3.9027777777777781</v>
      </c>
      <c r="X21" s="150">
        <v>5.291666666666667</v>
      </c>
      <c r="Y21" s="150">
        <v>6.6805555555555562</v>
      </c>
      <c r="Z21" s="150">
        <v>8.0694444444444446</v>
      </c>
      <c r="AA21" s="150">
        <v>9.4583333333333339</v>
      </c>
      <c r="AB21" s="150">
        <v>12.236111111111111</v>
      </c>
    </row>
    <row r="22" spans="1:28">
      <c r="A22" s="1"/>
      <c r="D22" s="60" t="s">
        <v>96</v>
      </c>
      <c r="E22" s="61">
        <v>2</v>
      </c>
      <c r="F22" s="61">
        <v>0</v>
      </c>
      <c r="G22" s="130">
        <v>1</v>
      </c>
      <c r="H22" s="108"/>
      <c r="I22" s="60"/>
      <c r="J22" s="125" t="s">
        <v>69</v>
      </c>
      <c r="K22" s="123" t="s">
        <v>5</v>
      </c>
      <c r="L22" s="61">
        <v>1</v>
      </c>
      <c r="M22" s="60" t="s">
        <v>359</v>
      </c>
      <c r="N22" s="60"/>
      <c r="P22" s="108"/>
      <c r="Q22" s="147" t="s">
        <v>400</v>
      </c>
      <c r="R22" s="60" t="s">
        <v>3</v>
      </c>
      <c r="U22" s="2" t="s">
        <v>420</v>
      </c>
      <c r="V22" s="150">
        <v>2.9270833333333335</v>
      </c>
      <c r="W22" s="150">
        <v>2.9270833333333335</v>
      </c>
      <c r="X22" s="150">
        <v>3.96875</v>
      </c>
      <c r="Y22" s="150">
        <v>5.0104166666666661</v>
      </c>
      <c r="Z22" s="150">
        <v>6.0520833333333339</v>
      </c>
      <c r="AA22" s="150">
        <v>7.09375</v>
      </c>
      <c r="AB22" s="150">
        <v>9.1770833333333321</v>
      </c>
    </row>
    <row r="23" spans="1:28">
      <c r="A23" s="1"/>
      <c r="D23" s="60" t="s">
        <v>95</v>
      </c>
      <c r="E23" s="61">
        <v>3</v>
      </c>
      <c r="F23" s="61">
        <v>1</v>
      </c>
      <c r="G23" s="130">
        <v>1.5</v>
      </c>
      <c r="H23" s="109"/>
      <c r="I23" s="60"/>
      <c r="J23" s="125" t="s">
        <v>70</v>
      </c>
      <c r="K23" s="123" t="s">
        <v>5</v>
      </c>
      <c r="L23" s="61">
        <v>0</v>
      </c>
      <c r="M23" s="60" t="s">
        <v>358</v>
      </c>
      <c r="N23" s="60"/>
      <c r="P23" s="113" t="s">
        <v>369</v>
      </c>
      <c r="Q23" s="60" t="s">
        <v>5</v>
      </c>
      <c r="U23" s="2" t="s">
        <v>421</v>
      </c>
      <c r="V23" s="150">
        <v>2.3416666666666663</v>
      </c>
      <c r="W23" s="150">
        <v>2.3416666666666663</v>
      </c>
      <c r="X23" s="150">
        <v>3.1749999999999998</v>
      </c>
      <c r="Y23" s="150">
        <v>4.0083333333333329</v>
      </c>
      <c r="Z23" s="150">
        <v>4.8416666666666668</v>
      </c>
      <c r="AA23" s="150">
        <v>5.6749999999999998</v>
      </c>
      <c r="AB23" s="150">
        <v>7.3416666666666668</v>
      </c>
    </row>
    <row r="24" spans="1:28">
      <c r="A24" s="1"/>
      <c r="D24" s="60" t="s">
        <v>97</v>
      </c>
      <c r="E24" s="61">
        <v>1</v>
      </c>
      <c r="F24" s="61">
        <v>3</v>
      </c>
      <c r="G24" s="130">
        <v>2</v>
      </c>
      <c r="H24" s="109"/>
      <c r="I24" s="120"/>
      <c r="J24" s="122" t="s">
        <v>71</v>
      </c>
      <c r="K24" s="123" t="s">
        <v>5</v>
      </c>
      <c r="L24" s="61">
        <v>0</v>
      </c>
      <c r="M24" s="60" t="s">
        <v>358</v>
      </c>
      <c r="N24" s="60"/>
      <c r="P24" s="108"/>
      <c r="Q24" s="60" t="s">
        <v>6</v>
      </c>
      <c r="U24" s="2" t="s">
        <v>430</v>
      </c>
      <c r="V24" s="150">
        <v>1.9513888888888891</v>
      </c>
      <c r="W24" s="150">
        <v>1.9513888888888891</v>
      </c>
      <c r="X24" s="150">
        <v>2.6458333333333335</v>
      </c>
      <c r="Y24" s="150">
        <v>3.3402777777777781</v>
      </c>
      <c r="Z24" s="150">
        <v>4.0347222222222223</v>
      </c>
      <c r="AA24" s="150">
        <v>4.729166666666667</v>
      </c>
      <c r="AB24" s="150">
        <v>6.1180555555555554</v>
      </c>
    </row>
    <row r="25" spans="1:28">
      <c r="A25" s="1"/>
      <c r="D25" s="60" t="s">
        <v>98</v>
      </c>
      <c r="E25" s="61">
        <v>1</v>
      </c>
      <c r="F25" s="61">
        <v>3</v>
      </c>
      <c r="G25" s="130">
        <v>2.5</v>
      </c>
      <c r="H25" s="113" t="s">
        <v>389</v>
      </c>
      <c r="I25" s="101"/>
      <c r="J25" s="101"/>
      <c r="K25" s="60"/>
      <c r="L25" s="61"/>
      <c r="M25" s="120"/>
      <c r="N25" s="121"/>
      <c r="P25" s="108"/>
      <c r="U25" s="2" t="s">
        <v>422</v>
      </c>
      <c r="V25" s="150">
        <v>1.6726190476190479</v>
      </c>
      <c r="W25" s="150">
        <v>1.6726190476190479</v>
      </c>
      <c r="X25" s="150">
        <v>2.2678571428571428</v>
      </c>
      <c r="Y25" s="150">
        <v>2.8630952380952381</v>
      </c>
      <c r="Z25" s="150">
        <v>3.4583333333333335</v>
      </c>
      <c r="AA25" s="150">
        <v>4.0535714285714288</v>
      </c>
      <c r="AB25" s="150">
        <v>5.2440476190476186</v>
      </c>
    </row>
    <row r="26" spans="1:28">
      <c r="A26" s="1"/>
      <c r="D26" s="60" t="s">
        <v>99</v>
      </c>
      <c r="E26" s="61">
        <v>1</v>
      </c>
      <c r="F26" s="61">
        <v>3</v>
      </c>
      <c r="G26" s="130">
        <v>3</v>
      </c>
      <c r="H26" s="109"/>
      <c r="I26" s="60"/>
      <c r="J26" s="125" t="s">
        <v>68</v>
      </c>
      <c r="K26" s="123" t="s">
        <v>5</v>
      </c>
      <c r="L26" s="61">
        <v>1</v>
      </c>
      <c r="M26" s="60" t="s">
        <v>359</v>
      </c>
      <c r="N26" s="60"/>
      <c r="P26" s="108"/>
      <c r="Q26" s="60" t="s">
        <v>403</v>
      </c>
      <c r="R26" s="60" t="s">
        <v>17</v>
      </c>
      <c r="U26" s="2" t="s">
        <v>423</v>
      </c>
      <c r="V26" s="150">
        <v>1.4635416666666667</v>
      </c>
      <c r="W26" s="150">
        <v>1.4635416666666667</v>
      </c>
      <c r="X26" s="150">
        <v>1.984375</v>
      </c>
      <c r="Y26" s="150">
        <v>2.505208333333333</v>
      </c>
      <c r="Z26" s="150">
        <v>3.026041666666667</v>
      </c>
      <c r="AA26" s="150">
        <v>3.546875</v>
      </c>
      <c r="AB26" s="150">
        <v>4.5885416666666661</v>
      </c>
    </row>
    <row r="27" spans="1:28">
      <c r="A27" s="1"/>
      <c r="D27" s="60" t="s">
        <v>100</v>
      </c>
      <c r="E27" s="61">
        <v>1</v>
      </c>
      <c r="F27" s="61">
        <v>3</v>
      </c>
      <c r="G27" s="130">
        <v>3.5</v>
      </c>
      <c r="H27" s="108"/>
      <c r="I27" s="60"/>
      <c r="J27" s="125" t="s">
        <v>69</v>
      </c>
      <c r="K27" s="123" t="s">
        <v>5</v>
      </c>
      <c r="L27" s="61">
        <v>1</v>
      </c>
      <c r="M27" s="60" t="s">
        <v>359</v>
      </c>
      <c r="N27" s="60"/>
      <c r="P27" s="108"/>
      <c r="Q27" s="60" t="s">
        <v>402</v>
      </c>
      <c r="R27" s="60" t="s">
        <v>17</v>
      </c>
      <c r="U27" s="2" t="s">
        <v>424</v>
      </c>
      <c r="V27" s="150">
        <v>1.3009259259259258</v>
      </c>
      <c r="W27" s="150">
        <v>1.3009259259259258</v>
      </c>
      <c r="X27" s="150">
        <v>1.7638888888888888</v>
      </c>
      <c r="Y27" s="150">
        <v>2.2268518518518516</v>
      </c>
      <c r="Z27" s="150">
        <v>2.6898148148148149</v>
      </c>
      <c r="AA27" s="150">
        <v>3.1527777777777781</v>
      </c>
      <c r="AB27" s="150">
        <v>4.0787037037037042</v>
      </c>
    </row>
    <row r="28" spans="1:28">
      <c r="A28" s="97"/>
      <c r="D28" s="60" t="s">
        <v>101</v>
      </c>
      <c r="E28" s="61">
        <v>1</v>
      </c>
      <c r="F28" s="61">
        <v>3</v>
      </c>
      <c r="G28" s="130">
        <v>4</v>
      </c>
      <c r="H28" s="109"/>
      <c r="I28" s="60"/>
      <c r="J28" s="125" t="s">
        <v>70</v>
      </c>
      <c r="K28" s="123" t="s">
        <v>5</v>
      </c>
      <c r="L28" s="61">
        <v>1</v>
      </c>
      <c r="M28" s="60" t="s">
        <v>359</v>
      </c>
      <c r="N28" s="60"/>
      <c r="P28" s="108"/>
      <c r="Q28" s="60" t="s">
        <v>370</v>
      </c>
      <c r="R28" s="60" t="s">
        <v>3</v>
      </c>
      <c r="U28" s="2" t="s">
        <v>425</v>
      </c>
      <c r="V28" s="150">
        <v>1.1708333333333332</v>
      </c>
      <c r="W28" s="150">
        <v>1.1708333333333332</v>
      </c>
      <c r="X28" s="150">
        <v>1.5874999999999999</v>
      </c>
      <c r="Y28" s="150">
        <v>2.0041666666666664</v>
      </c>
      <c r="Z28" s="150">
        <v>2.4208333333333334</v>
      </c>
      <c r="AA28" s="150">
        <v>2.8374999999999999</v>
      </c>
      <c r="AB28" s="150">
        <v>3.6708333333333334</v>
      </c>
    </row>
    <row r="29" spans="1:28">
      <c r="A29" s="97"/>
      <c r="D29" s="60" t="s">
        <v>102</v>
      </c>
      <c r="E29" s="61">
        <v>1</v>
      </c>
      <c r="F29" s="61">
        <v>3</v>
      </c>
      <c r="G29" s="130">
        <v>4.5</v>
      </c>
      <c r="H29" s="109"/>
      <c r="I29" s="120"/>
      <c r="J29" s="122" t="s">
        <v>71</v>
      </c>
      <c r="K29" s="123" t="s">
        <v>5</v>
      </c>
      <c r="L29" s="61">
        <v>0</v>
      </c>
      <c r="M29" s="60" t="s">
        <v>358</v>
      </c>
      <c r="N29" s="60"/>
      <c r="P29" s="108"/>
      <c r="Q29" s="60" t="s">
        <v>371</v>
      </c>
      <c r="R29" s="60" t="s">
        <v>18</v>
      </c>
    </row>
    <row r="30" spans="1:28">
      <c r="A30" s="97"/>
      <c r="D30" s="60" t="s">
        <v>103</v>
      </c>
      <c r="E30" s="61">
        <v>1</v>
      </c>
      <c r="F30" s="61">
        <v>3</v>
      </c>
      <c r="G30" s="130">
        <v>5</v>
      </c>
      <c r="H30" s="113" t="s">
        <v>390</v>
      </c>
      <c r="I30" s="101"/>
      <c r="J30" s="101"/>
      <c r="K30" s="60"/>
      <c r="L30" s="61"/>
      <c r="M30" s="120"/>
      <c r="N30" s="121"/>
      <c r="P30" s="108"/>
      <c r="U30" s="151" t="s">
        <v>405</v>
      </c>
      <c r="V30" t="s">
        <v>410</v>
      </c>
    </row>
    <row r="31" spans="1:28">
      <c r="A31" s="97"/>
      <c r="D31" s="60" t="s">
        <v>104</v>
      </c>
      <c r="E31" s="61">
        <v>1</v>
      </c>
      <c r="F31" s="61">
        <v>3</v>
      </c>
      <c r="G31" s="130">
        <v>5.5</v>
      </c>
      <c r="H31" s="109"/>
      <c r="I31" s="60"/>
      <c r="J31" s="125" t="s">
        <v>68</v>
      </c>
      <c r="K31" s="123" t="s">
        <v>5</v>
      </c>
      <c r="L31" s="61">
        <v>1</v>
      </c>
      <c r="M31" s="60" t="s">
        <v>359</v>
      </c>
      <c r="N31" s="60"/>
      <c r="P31" s="113" t="s">
        <v>136</v>
      </c>
      <c r="Q31" s="60" t="s">
        <v>5</v>
      </c>
      <c r="U31" s="152" t="s">
        <v>406</v>
      </c>
      <c r="V31" t="s">
        <v>411</v>
      </c>
    </row>
    <row r="32" spans="1:28">
      <c r="A32" s="97"/>
      <c r="D32" s="60" t="s">
        <v>105</v>
      </c>
      <c r="E32" s="61">
        <v>1</v>
      </c>
      <c r="F32" s="61">
        <v>3</v>
      </c>
      <c r="G32" s="130">
        <v>6</v>
      </c>
      <c r="H32" s="108"/>
      <c r="I32" s="60"/>
      <c r="J32" s="125" t="s">
        <v>69</v>
      </c>
      <c r="K32" s="123" t="s">
        <v>5</v>
      </c>
      <c r="L32" s="61">
        <v>1</v>
      </c>
      <c r="M32" s="60" t="s">
        <v>359</v>
      </c>
      <c r="N32" s="60"/>
      <c r="P32" s="108"/>
      <c r="Q32" s="60" t="s">
        <v>6</v>
      </c>
      <c r="U32" s="153" t="s">
        <v>407</v>
      </c>
      <c r="V32" t="s">
        <v>412</v>
      </c>
    </row>
    <row r="33" spans="1:22">
      <c r="A33" s="97"/>
      <c r="D33" s="60" t="s">
        <v>106</v>
      </c>
      <c r="E33" s="61">
        <v>1</v>
      </c>
      <c r="F33" s="61">
        <v>3</v>
      </c>
      <c r="G33" s="130">
        <v>6.5</v>
      </c>
      <c r="H33" s="109"/>
      <c r="I33" s="60"/>
      <c r="J33" s="125" t="s">
        <v>70</v>
      </c>
      <c r="K33" s="123" t="s">
        <v>5</v>
      </c>
      <c r="L33" s="61">
        <v>0</v>
      </c>
      <c r="M33" s="60" t="s">
        <v>358</v>
      </c>
      <c r="N33" s="60"/>
      <c r="P33" s="108"/>
      <c r="U33" s="154" t="s">
        <v>408</v>
      </c>
      <c r="V33" t="s">
        <v>413</v>
      </c>
    </row>
    <row r="34" spans="1:22">
      <c r="A34" s="97"/>
      <c r="D34" s="60" t="s">
        <v>107</v>
      </c>
      <c r="E34" s="61">
        <v>1</v>
      </c>
      <c r="F34" s="61">
        <v>3</v>
      </c>
      <c r="G34" s="130">
        <v>7</v>
      </c>
      <c r="H34" s="109"/>
      <c r="I34" s="120"/>
      <c r="J34" s="122" t="s">
        <v>71</v>
      </c>
      <c r="K34" s="123" t="s">
        <v>5</v>
      </c>
      <c r="L34" s="61">
        <v>0</v>
      </c>
      <c r="M34" s="60" t="s">
        <v>358</v>
      </c>
      <c r="N34" s="60"/>
      <c r="P34" s="108"/>
      <c r="Q34" s="60" t="s">
        <v>322</v>
      </c>
      <c r="R34" s="60" t="s">
        <v>18</v>
      </c>
      <c r="U34" s="155" t="s">
        <v>409</v>
      </c>
      <c r="V34" t="s">
        <v>414</v>
      </c>
    </row>
    <row r="35" spans="1:22">
      <c r="A35" s="97"/>
      <c r="D35" s="60" t="s">
        <v>108</v>
      </c>
      <c r="E35" s="61">
        <v>1</v>
      </c>
      <c r="F35" s="61">
        <v>3</v>
      </c>
      <c r="G35" s="130">
        <v>7.5</v>
      </c>
      <c r="H35" s="202" t="s">
        <v>454</v>
      </c>
      <c r="I35" s="101"/>
      <c r="J35" s="101"/>
      <c r="K35" s="60"/>
      <c r="L35" s="61"/>
      <c r="M35" s="120"/>
      <c r="N35" s="121"/>
      <c r="P35" s="108"/>
      <c r="Q35" s="60" t="s">
        <v>321</v>
      </c>
      <c r="R35" s="60" t="s">
        <v>18</v>
      </c>
    </row>
    <row r="36" spans="1:22">
      <c r="A36" s="97"/>
      <c r="D36" s="60" t="s">
        <v>109</v>
      </c>
      <c r="E36" s="61">
        <v>1</v>
      </c>
      <c r="F36" s="61">
        <v>3</v>
      </c>
      <c r="G36" s="130">
        <v>8</v>
      </c>
      <c r="H36" s="109"/>
      <c r="I36" s="60"/>
      <c r="J36" s="125" t="s">
        <v>68</v>
      </c>
      <c r="K36" s="123" t="s">
        <v>5</v>
      </c>
      <c r="L36" s="61">
        <v>1</v>
      </c>
      <c r="M36" s="60" t="s">
        <v>359</v>
      </c>
      <c r="N36" s="60"/>
      <c r="P36" s="108"/>
      <c r="Q36" s="60" t="s">
        <v>135</v>
      </c>
      <c r="R36" s="60" t="s">
        <v>19</v>
      </c>
    </row>
    <row r="37" spans="1:22">
      <c r="A37" s="97"/>
      <c r="D37" s="60" t="s">
        <v>110</v>
      </c>
      <c r="E37" s="61">
        <v>1</v>
      </c>
      <c r="F37" s="61">
        <v>3</v>
      </c>
      <c r="G37" s="130">
        <v>8.5</v>
      </c>
      <c r="H37" s="108"/>
      <c r="I37" s="60"/>
      <c r="J37" s="125" t="s">
        <v>69</v>
      </c>
      <c r="K37" s="123" t="s">
        <v>5</v>
      </c>
      <c r="L37" s="61">
        <v>1</v>
      </c>
      <c r="M37" s="60" t="s">
        <v>359</v>
      </c>
      <c r="N37" s="60"/>
      <c r="P37" s="108"/>
    </row>
    <row r="38" spans="1:22">
      <c r="A38" s="97"/>
      <c r="D38" s="60" t="s">
        <v>111</v>
      </c>
      <c r="E38" s="61">
        <v>1</v>
      </c>
      <c r="F38" s="61">
        <v>3</v>
      </c>
      <c r="G38" s="61">
        <v>9</v>
      </c>
      <c r="H38" s="109"/>
      <c r="I38" s="60"/>
      <c r="J38" s="125" t="s">
        <v>70</v>
      </c>
      <c r="K38" s="123" t="s">
        <v>5</v>
      </c>
      <c r="L38" s="61">
        <v>0</v>
      </c>
      <c r="M38" s="60" t="s">
        <v>358</v>
      </c>
      <c r="N38" s="60"/>
      <c r="P38" s="113" t="s">
        <v>16</v>
      </c>
      <c r="Q38" s="60" t="s">
        <v>5</v>
      </c>
    </row>
    <row r="39" spans="1:22">
      <c r="A39" s="97"/>
      <c r="D39" s="60" t="s">
        <v>112</v>
      </c>
      <c r="E39" s="61">
        <v>1</v>
      </c>
      <c r="F39" s="61">
        <v>3</v>
      </c>
      <c r="G39" s="61">
        <v>9.5</v>
      </c>
      <c r="H39" s="109"/>
      <c r="I39" s="120"/>
      <c r="J39" s="122" t="s">
        <v>71</v>
      </c>
      <c r="K39" s="123" t="s">
        <v>5</v>
      </c>
      <c r="L39" s="61">
        <v>0</v>
      </c>
      <c r="M39" s="60" t="s">
        <v>358</v>
      </c>
      <c r="N39" s="60"/>
      <c r="P39" s="109"/>
      <c r="Q39" s="60" t="s">
        <v>6</v>
      </c>
    </row>
    <row r="40" spans="1:22">
      <c r="A40" s="97"/>
      <c r="D40" s="60" t="s">
        <v>113</v>
      </c>
      <c r="E40" s="61">
        <v>1</v>
      </c>
      <c r="F40" s="61">
        <v>3</v>
      </c>
      <c r="G40" s="130">
        <v>10</v>
      </c>
      <c r="H40" s="109"/>
      <c r="J40" s="126"/>
      <c r="K40" s="127"/>
      <c r="L40" s="2"/>
      <c r="P40" s="109"/>
    </row>
    <row r="41" spans="1:22">
      <c r="A41" s="97"/>
      <c r="H41" s="113" t="s">
        <v>360</v>
      </c>
      <c r="I41" s="101"/>
      <c r="J41" s="101"/>
      <c r="K41" s="60" t="s">
        <v>5</v>
      </c>
      <c r="L41" s="61">
        <v>2</v>
      </c>
      <c r="M41" s="120" t="s">
        <v>361</v>
      </c>
      <c r="N41" s="121"/>
      <c r="P41" s="109"/>
      <c r="Q41" s="60" t="s">
        <v>137</v>
      </c>
      <c r="R41" s="60" t="s">
        <v>18</v>
      </c>
    </row>
    <row r="42" spans="1:22">
      <c r="A42" s="100" t="s">
        <v>341</v>
      </c>
      <c r="B42" s="101"/>
      <c r="C42" s="101"/>
      <c r="D42" s="98" t="s">
        <v>339</v>
      </c>
      <c r="E42" s="59" t="s">
        <v>28</v>
      </c>
      <c r="F42" s="59" t="s">
        <v>29</v>
      </c>
      <c r="H42" s="109"/>
      <c r="L42" s="2"/>
      <c r="P42" s="109"/>
      <c r="Q42" s="60" t="s">
        <v>138</v>
      </c>
      <c r="R42" s="60" t="s">
        <v>19</v>
      </c>
    </row>
    <row r="43" spans="1:22">
      <c r="A43" s="97"/>
      <c r="D43" s="60" t="s">
        <v>37</v>
      </c>
      <c r="E43" s="61">
        <v>3</v>
      </c>
      <c r="F43" s="61">
        <v>3</v>
      </c>
      <c r="H43" s="113" t="s">
        <v>82</v>
      </c>
      <c r="I43" s="101"/>
      <c r="J43" s="101"/>
      <c r="K43" s="60" t="s">
        <v>5</v>
      </c>
      <c r="L43" s="61">
        <v>0</v>
      </c>
      <c r="M43" s="120" t="s">
        <v>358</v>
      </c>
      <c r="N43" s="121"/>
      <c r="P43" s="109"/>
      <c r="Q43" s="60" t="s">
        <v>139</v>
      </c>
      <c r="R43" s="60" t="s">
        <v>19</v>
      </c>
    </row>
    <row r="44" spans="1:22">
      <c r="A44" s="97"/>
      <c r="D44" s="60" t="s">
        <v>38</v>
      </c>
      <c r="E44" s="61">
        <v>2</v>
      </c>
      <c r="F44" s="61">
        <v>2</v>
      </c>
      <c r="H44" s="109"/>
      <c r="L44" s="2"/>
      <c r="P44" s="109"/>
      <c r="Q44" s="60" t="s">
        <v>325</v>
      </c>
      <c r="R44" s="60" t="s">
        <v>18</v>
      </c>
    </row>
    <row r="45" spans="1:22">
      <c r="A45" s="97"/>
      <c r="D45" s="60" t="s">
        <v>377</v>
      </c>
      <c r="E45" s="61">
        <v>2</v>
      </c>
      <c r="F45" s="61">
        <v>2</v>
      </c>
      <c r="H45" s="113" t="s">
        <v>83</v>
      </c>
      <c r="I45" s="101"/>
      <c r="J45" s="101"/>
      <c r="K45" s="60" t="s">
        <v>5</v>
      </c>
      <c r="L45" s="61">
        <v>-1</v>
      </c>
      <c r="M45" s="120" t="s">
        <v>362</v>
      </c>
      <c r="N45" s="121"/>
      <c r="P45" s="109"/>
      <c r="Q45" s="60" t="s">
        <v>353</v>
      </c>
      <c r="R45" s="60" t="s">
        <v>3</v>
      </c>
    </row>
    <row r="46" spans="1:22">
      <c r="A46" s="97"/>
      <c r="D46" s="60" t="s">
        <v>39</v>
      </c>
      <c r="E46" s="61">
        <v>1</v>
      </c>
      <c r="F46" s="61">
        <v>1</v>
      </c>
      <c r="H46" s="109"/>
      <c r="L46" s="2"/>
      <c r="P46" s="109"/>
      <c r="Q46" s="201" t="s">
        <v>438</v>
      </c>
      <c r="R46" s="201" t="s">
        <v>18</v>
      </c>
    </row>
    <row r="47" spans="1:22">
      <c r="A47" s="1"/>
      <c r="H47" s="113" t="s">
        <v>84</v>
      </c>
      <c r="I47" s="101"/>
      <c r="J47" s="101"/>
      <c r="K47" s="60" t="s">
        <v>5</v>
      </c>
      <c r="L47" s="61">
        <v>0</v>
      </c>
      <c r="M47" s="120" t="s">
        <v>358</v>
      </c>
      <c r="N47" s="121"/>
      <c r="P47" s="270" t="s">
        <v>372</v>
      </c>
      <c r="Q47" s="60" t="s">
        <v>5</v>
      </c>
    </row>
    <row r="48" spans="1:22">
      <c r="A48" s="100" t="s">
        <v>342</v>
      </c>
      <c r="B48" s="101"/>
      <c r="C48" s="101"/>
      <c r="D48" s="98" t="s">
        <v>342</v>
      </c>
      <c r="E48" s="59" t="s">
        <v>28</v>
      </c>
      <c r="F48" s="59" t="s">
        <v>29</v>
      </c>
      <c r="H48" s="109"/>
      <c r="L48" s="2"/>
      <c r="P48" s="270"/>
      <c r="Q48" s="60" t="s">
        <v>6</v>
      </c>
    </row>
    <row r="49" spans="1:22">
      <c r="A49" s="97"/>
      <c r="D49" s="60" t="s">
        <v>43</v>
      </c>
      <c r="E49" s="61">
        <v>3</v>
      </c>
      <c r="F49" s="61">
        <v>3</v>
      </c>
      <c r="H49" s="113" t="s">
        <v>363</v>
      </c>
      <c r="I49" s="101"/>
      <c r="J49" s="101"/>
      <c r="K49" s="60" t="s">
        <v>5</v>
      </c>
      <c r="L49" s="61">
        <v>0</v>
      </c>
      <c r="M49" s="120" t="s">
        <v>358</v>
      </c>
      <c r="N49" s="121"/>
      <c r="P49" s="132"/>
    </row>
    <row r="50" spans="1:22">
      <c r="A50" s="97"/>
      <c r="D50" s="60" t="s">
        <v>44</v>
      </c>
      <c r="E50" s="61">
        <v>2</v>
      </c>
      <c r="F50" s="61">
        <v>3</v>
      </c>
      <c r="H50" s="109"/>
      <c r="L50" s="2"/>
      <c r="P50" s="132"/>
      <c r="Q50" s="60" t="s">
        <v>374</v>
      </c>
      <c r="R50" s="60" t="s">
        <v>18</v>
      </c>
    </row>
    <row r="51" spans="1:22">
      <c r="A51" s="97"/>
      <c r="D51" s="60" t="s">
        <v>45</v>
      </c>
      <c r="E51" s="61">
        <v>2</v>
      </c>
      <c r="F51" s="61">
        <v>2</v>
      </c>
      <c r="H51" s="113" t="s">
        <v>87</v>
      </c>
      <c r="I51" s="101"/>
      <c r="J51" s="101"/>
      <c r="K51" s="60" t="s">
        <v>5</v>
      </c>
      <c r="L51" s="61">
        <v>0</v>
      </c>
      <c r="M51" s="120" t="s">
        <v>358</v>
      </c>
      <c r="N51" s="121"/>
      <c r="P51" s="132"/>
      <c r="Q51" s="60" t="s">
        <v>375</v>
      </c>
      <c r="R51" s="60" t="s">
        <v>18</v>
      </c>
    </row>
    <row r="52" spans="1:22">
      <c r="A52" s="97"/>
      <c r="D52" s="60" t="s">
        <v>46</v>
      </c>
      <c r="E52" s="61">
        <v>1</v>
      </c>
      <c r="F52" s="61">
        <v>1</v>
      </c>
      <c r="H52" s="109"/>
      <c r="L52" s="2"/>
      <c r="P52" s="109"/>
    </row>
    <row r="53" spans="1:22">
      <c r="A53" s="97"/>
      <c r="D53" s="60" t="s">
        <v>386</v>
      </c>
      <c r="E53" s="61">
        <v>0</v>
      </c>
      <c r="F53" s="61">
        <v>0</v>
      </c>
      <c r="H53" s="113" t="s">
        <v>85</v>
      </c>
      <c r="I53" s="101"/>
      <c r="J53" s="101"/>
      <c r="K53" s="60" t="s">
        <v>5</v>
      </c>
      <c r="L53" s="61">
        <v>1</v>
      </c>
      <c r="M53" s="60" t="s">
        <v>359</v>
      </c>
      <c r="N53" s="121"/>
      <c r="P53" s="98" t="s">
        <v>127</v>
      </c>
      <c r="Q53" s="98" t="s">
        <v>128</v>
      </c>
      <c r="R53" s="98" t="s">
        <v>129</v>
      </c>
      <c r="S53" s="98" t="s">
        <v>130</v>
      </c>
    </row>
    <row r="54" spans="1:22">
      <c r="A54" s="97"/>
      <c r="D54" s="60" t="s">
        <v>48</v>
      </c>
      <c r="E54" s="61">
        <v>1</v>
      </c>
      <c r="F54" s="61">
        <v>1</v>
      </c>
      <c r="H54" s="109"/>
      <c r="L54" s="2"/>
      <c r="P54" s="60" t="s">
        <v>20</v>
      </c>
      <c r="Q54" s="60" t="s">
        <v>22</v>
      </c>
      <c r="R54" s="60" t="s">
        <v>22</v>
      </c>
      <c r="S54" s="60" t="s">
        <v>17</v>
      </c>
    </row>
    <row r="55" spans="1:22">
      <c r="A55" s="97"/>
      <c r="D55" s="60" t="s">
        <v>47</v>
      </c>
      <c r="E55" s="61">
        <v>0</v>
      </c>
      <c r="F55" s="61">
        <v>0</v>
      </c>
      <c r="H55" s="113" t="s">
        <v>387</v>
      </c>
      <c r="I55" s="101"/>
      <c r="J55" s="101"/>
      <c r="K55" s="60" t="s">
        <v>5</v>
      </c>
      <c r="L55" s="61">
        <v>0</v>
      </c>
      <c r="M55" s="120" t="s">
        <v>358</v>
      </c>
      <c r="N55" s="121"/>
      <c r="P55" s="60" t="s">
        <v>17</v>
      </c>
      <c r="Q55" s="60" t="s">
        <v>17</v>
      </c>
      <c r="R55" s="60" t="s">
        <v>17</v>
      </c>
      <c r="S55" s="60" t="s">
        <v>17</v>
      </c>
    </row>
    <row r="56" spans="1:22">
      <c r="A56" s="1"/>
      <c r="H56" s="109"/>
      <c r="L56" s="2"/>
      <c r="P56" s="60" t="s">
        <v>3</v>
      </c>
      <c r="Q56" s="60" t="s">
        <v>17</v>
      </c>
      <c r="R56" s="60" t="s">
        <v>21</v>
      </c>
      <c r="S56" s="60" t="s">
        <v>21</v>
      </c>
    </row>
    <row r="57" spans="1:22">
      <c r="A57" s="100" t="s">
        <v>343</v>
      </c>
      <c r="B57" s="101"/>
      <c r="C57" s="101"/>
      <c r="D57" s="98" t="s">
        <v>343</v>
      </c>
      <c r="E57" s="166" t="s">
        <v>28</v>
      </c>
      <c r="F57" s="166" t="s">
        <v>29</v>
      </c>
      <c r="H57" s="113" t="s">
        <v>364</v>
      </c>
      <c r="I57" s="101"/>
      <c r="J57" s="101"/>
      <c r="K57" s="60" t="s">
        <v>5</v>
      </c>
      <c r="L57" s="61">
        <v>0</v>
      </c>
      <c r="M57" s="120" t="s">
        <v>358</v>
      </c>
      <c r="N57" s="121"/>
      <c r="P57" s="60" t="s">
        <v>18</v>
      </c>
      <c r="Q57" s="60" t="s">
        <v>21</v>
      </c>
      <c r="R57" s="60" t="s">
        <v>21</v>
      </c>
      <c r="S57" s="60" t="s">
        <v>18</v>
      </c>
    </row>
    <row r="58" spans="1:22">
      <c r="A58" s="97"/>
      <c r="D58" s="60" t="s">
        <v>50</v>
      </c>
      <c r="E58" s="61">
        <v>3</v>
      </c>
      <c r="F58" s="61">
        <v>2</v>
      </c>
      <c r="H58" s="109"/>
      <c r="L58" s="2"/>
      <c r="P58" s="60" t="s">
        <v>19</v>
      </c>
      <c r="Q58" s="60" t="s">
        <v>21</v>
      </c>
      <c r="R58" s="60" t="s">
        <v>18</v>
      </c>
      <c r="S58" s="60" t="s">
        <v>18</v>
      </c>
    </row>
    <row r="59" spans="1:22">
      <c r="A59" s="97"/>
      <c r="D59" s="60" t="s">
        <v>51</v>
      </c>
      <c r="E59" s="61">
        <v>1</v>
      </c>
      <c r="F59" s="61">
        <v>2</v>
      </c>
      <c r="H59" s="113" t="s">
        <v>365</v>
      </c>
      <c r="I59" s="101"/>
      <c r="J59" s="101"/>
      <c r="K59" s="60" t="s">
        <v>5</v>
      </c>
      <c r="L59" s="61">
        <v>-1</v>
      </c>
      <c r="M59" s="120" t="s">
        <v>362</v>
      </c>
      <c r="N59" s="121"/>
      <c r="P59" s="109"/>
    </row>
    <row r="60" spans="1:22">
      <c r="A60" s="97"/>
      <c r="D60" s="60" t="s">
        <v>347</v>
      </c>
      <c r="E60" s="61">
        <v>1</v>
      </c>
      <c r="F60" s="61">
        <v>1</v>
      </c>
      <c r="H60" s="109"/>
      <c r="L60" s="2"/>
      <c r="P60" s="113" t="s">
        <v>162</v>
      </c>
      <c r="Q60" s="101"/>
      <c r="R60" s="101"/>
      <c r="S60" s="101"/>
    </row>
    <row r="61" spans="1:22">
      <c r="A61" s="97"/>
      <c r="D61" s="60" t="s">
        <v>348</v>
      </c>
      <c r="E61" s="61">
        <v>2</v>
      </c>
      <c r="F61" s="61">
        <v>2</v>
      </c>
      <c r="G61" s="97"/>
      <c r="H61" s="113" t="s">
        <v>366</v>
      </c>
      <c r="I61" s="101"/>
      <c r="J61" s="101"/>
      <c r="K61" s="60" t="s">
        <v>5</v>
      </c>
      <c r="L61" s="61">
        <v>-2</v>
      </c>
      <c r="M61" s="120" t="s">
        <v>367</v>
      </c>
      <c r="N61" s="121"/>
      <c r="P61" s="99" t="s">
        <v>22</v>
      </c>
      <c r="Q61" s="109" t="s">
        <v>320</v>
      </c>
    </row>
    <row r="62" spans="1:22">
      <c r="A62" s="97"/>
      <c r="D62" s="60" t="s">
        <v>52</v>
      </c>
      <c r="E62" s="61">
        <v>0</v>
      </c>
      <c r="F62" s="61">
        <v>0</v>
      </c>
      <c r="G62" s="97"/>
      <c r="H62" s="109"/>
      <c r="L62" s="2"/>
      <c r="P62" s="99" t="s">
        <v>17</v>
      </c>
      <c r="Q62" s="109" t="s">
        <v>163</v>
      </c>
    </row>
    <row r="63" spans="1:22">
      <c r="A63" s="97"/>
      <c r="D63" s="115"/>
      <c r="E63" s="131"/>
      <c r="F63" s="131"/>
      <c r="H63" s="109"/>
      <c r="L63" s="2"/>
      <c r="P63" s="99" t="s">
        <v>21</v>
      </c>
      <c r="Q63" s="109" t="s">
        <v>164</v>
      </c>
    </row>
    <row r="64" spans="1:22">
      <c r="A64" s="97"/>
      <c r="E64" s="2"/>
      <c r="F64" s="2"/>
      <c r="H64" s="124" t="s">
        <v>161</v>
      </c>
      <c r="I64" s="101"/>
      <c r="J64" s="101"/>
      <c r="K64" s="101"/>
      <c r="L64" s="101"/>
      <c r="M64" s="101"/>
      <c r="N64" s="101"/>
      <c r="P64" s="99" t="s">
        <v>18</v>
      </c>
      <c r="Q64" s="118" t="s">
        <v>165</v>
      </c>
      <c r="R64" s="92"/>
      <c r="S64" s="92"/>
      <c r="T64" s="92"/>
      <c r="U64" s="92"/>
      <c r="V64" s="92"/>
    </row>
    <row r="65" spans="1:22">
      <c r="A65" s="100" t="s">
        <v>1</v>
      </c>
      <c r="B65" s="101"/>
      <c r="C65" s="101"/>
      <c r="D65" s="98" t="s">
        <v>1</v>
      </c>
      <c r="E65" s="166" t="s">
        <v>28</v>
      </c>
      <c r="F65" s="166" t="s">
        <v>29</v>
      </c>
      <c r="H65" s="99" t="s">
        <v>20</v>
      </c>
      <c r="I65" s="114" t="s">
        <v>142</v>
      </c>
      <c r="J65" s="115"/>
      <c r="K65" s="115"/>
      <c r="L65" s="115"/>
      <c r="M65" s="115"/>
      <c r="N65" s="115"/>
      <c r="P65" s="112"/>
    </row>
    <row r="66" spans="1:22">
      <c r="A66" s="97"/>
      <c r="D66" s="60" t="s">
        <v>55</v>
      </c>
      <c r="E66" s="61">
        <v>1</v>
      </c>
      <c r="F66" s="61">
        <v>1</v>
      </c>
      <c r="H66" s="99" t="s">
        <v>17</v>
      </c>
      <c r="I66" s="109" t="s">
        <v>143</v>
      </c>
      <c r="P66" s="119" t="s">
        <v>23</v>
      </c>
      <c r="Q66" s="101"/>
      <c r="R66" s="101"/>
      <c r="S66" s="101"/>
      <c r="T66" s="101"/>
      <c r="U66" s="101"/>
      <c r="V66" s="101"/>
    </row>
    <row r="67" spans="1:22">
      <c r="A67" s="97"/>
      <c r="D67" s="60" t="s">
        <v>56</v>
      </c>
      <c r="E67" s="61">
        <v>2</v>
      </c>
      <c r="F67" s="61">
        <v>2</v>
      </c>
      <c r="H67" s="99" t="s">
        <v>3</v>
      </c>
      <c r="I67" s="109" t="s">
        <v>144</v>
      </c>
      <c r="P67" s="99" t="s">
        <v>21</v>
      </c>
      <c r="Q67" s="114" t="s">
        <v>167</v>
      </c>
      <c r="R67" s="115"/>
      <c r="S67" s="115"/>
      <c r="T67" s="115"/>
      <c r="U67" s="115"/>
      <c r="V67" s="115"/>
    </row>
    <row r="68" spans="1:22">
      <c r="A68" s="97"/>
      <c r="D68" s="60" t="s">
        <v>57</v>
      </c>
      <c r="E68" s="61">
        <v>2</v>
      </c>
      <c r="F68" s="61">
        <v>2</v>
      </c>
      <c r="H68" s="99" t="s">
        <v>18</v>
      </c>
      <c r="I68" s="109" t="s">
        <v>145</v>
      </c>
      <c r="P68" s="99" t="s">
        <v>18</v>
      </c>
      <c r="Q68" s="118" t="s">
        <v>166</v>
      </c>
      <c r="R68" s="92"/>
      <c r="S68" s="92"/>
      <c r="T68" s="92"/>
      <c r="U68" s="92"/>
      <c r="V68" s="92"/>
    </row>
    <row r="69" spans="1:22">
      <c r="A69" s="97"/>
      <c r="D69" s="60" t="s">
        <v>58</v>
      </c>
      <c r="E69" s="61">
        <v>3</v>
      </c>
      <c r="F69" s="61">
        <v>3</v>
      </c>
      <c r="H69" s="99" t="s">
        <v>19</v>
      </c>
      <c r="I69" s="118" t="s">
        <v>146</v>
      </c>
      <c r="J69" s="92"/>
      <c r="K69" s="92"/>
      <c r="L69" s="92"/>
      <c r="M69" s="92"/>
      <c r="N69" s="92"/>
      <c r="P69" s="109"/>
    </row>
    <row r="70" spans="1:22" ht="15" customHeight="1">
      <c r="A70" s="97"/>
      <c r="D70" s="60" t="s">
        <v>59</v>
      </c>
      <c r="E70" s="61">
        <v>0</v>
      </c>
      <c r="F70" s="61">
        <v>0</v>
      </c>
      <c r="H70" s="114"/>
      <c r="P70" s="108"/>
    </row>
    <row r="71" spans="1:22">
      <c r="A71" s="97"/>
      <c r="H71" s="109"/>
      <c r="P71" s="109"/>
    </row>
    <row r="72" spans="1:22" ht="15" customHeight="1">
      <c r="A72" s="100" t="s">
        <v>349</v>
      </c>
      <c r="B72" s="101"/>
      <c r="C72" s="101"/>
      <c r="D72" s="98" t="s">
        <v>349</v>
      </c>
      <c r="E72" s="59" t="s">
        <v>28</v>
      </c>
      <c r="F72" s="59" t="s">
        <v>29</v>
      </c>
      <c r="H72" s="109"/>
      <c r="P72" s="109"/>
    </row>
    <row r="73" spans="1:22">
      <c r="A73" s="97"/>
      <c r="D73" s="60" t="s">
        <v>63</v>
      </c>
      <c r="E73" s="61">
        <v>2</v>
      </c>
      <c r="F73" s="61">
        <v>3</v>
      </c>
      <c r="H73" s="109"/>
      <c r="P73" s="109"/>
    </row>
    <row r="74" spans="1:22" ht="15" customHeight="1">
      <c r="A74" s="97"/>
      <c r="D74" s="60" t="s">
        <v>64</v>
      </c>
      <c r="E74" s="61">
        <v>1</v>
      </c>
      <c r="F74" s="61">
        <v>1</v>
      </c>
      <c r="H74" s="109"/>
      <c r="P74" s="109"/>
    </row>
    <row r="75" spans="1:22">
      <c r="A75" s="97"/>
      <c r="D75" s="60" t="s">
        <v>379</v>
      </c>
      <c r="E75" s="61">
        <v>1</v>
      </c>
      <c r="F75" s="61">
        <v>1</v>
      </c>
      <c r="H75" s="109"/>
      <c r="P75" s="109"/>
    </row>
    <row r="76" spans="1:22">
      <c r="A76" s="97"/>
      <c r="D76" s="60" t="s">
        <v>65</v>
      </c>
      <c r="E76" s="61">
        <v>3</v>
      </c>
      <c r="F76" s="61">
        <v>2</v>
      </c>
      <c r="H76" s="109"/>
      <c r="P76" s="109"/>
    </row>
    <row r="77" spans="1:22">
      <c r="A77" s="97"/>
      <c r="H77" s="109"/>
      <c r="P77" s="109"/>
    </row>
    <row r="78" spans="1:22">
      <c r="A78" s="100" t="s">
        <v>350</v>
      </c>
      <c r="B78" s="101"/>
      <c r="C78" s="101"/>
      <c r="D78" s="98" t="s">
        <v>350</v>
      </c>
      <c r="E78" s="59" t="s">
        <v>28</v>
      </c>
      <c r="F78" s="59" t="s">
        <v>29</v>
      </c>
      <c r="H78" s="109"/>
      <c r="P78" s="109"/>
    </row>
    <row r="79" spans="1:22">
      <c r="A79" s="97"/>
      <c r="D79" s="60" t="s">
        <v>68</v>
      </c>
      <c r="E79" s="61">
        <v>3</v>
      </c>
      <c r="F79" s="61">
        <v>3</v>
      </c>
      <c r="H79" s="109"/>
      <c r="P79" s="109"/>
    </row>
    <row r="80" spans="1:22">
      <c r="A80" s="97"/>
      <c r="D80" s="60" t="s">
        <v>69</v>
      </c>
      <c r="E80" s="61">
        <v>2</v>
      </c>
      <c r="F80" s="61">
        <v>2</v>
      </c>
      <c r="H80" s="109"/>
      <c r="P80" s="109"/>
    </row>
    <row r="81" spans="1:16">
      <c r="A81" s="97"/>
      <c r="D81" s="60" t="s">
        <v>70</v>
      </c>
      <c r="E81" s="61">
        <v>1</v>
      </c>
      <c r="F81" s="61">
        <v>1</v>
      </c>
      <c r="H81" s="109"/>
      <c r="P81" s="109"/>
    </row>
    <row r="82" spans="1:16">
      <c r="A82" s="97"/>
      <c r="D82" s="60" t="s">
        <v>71</v>
      </c>
      <c r="E82" s="61">
        <v>0</v>
      </c>
      <c r="F82" s="61">
        <v>0</v>
      </c>
      <c r="H82" s="109"/>
      <c r="P82" s="109"/>
    </row>
    <row r="83" spans="1:16">
      <c r="A83" s="1"/>
      <c r="P83" s="109"/>
    </row>
    <row r="84" spans="1:16">
      <c r="A84" s="100" t="s">
        <v>72</v>
      </c>
      <c r="B84" s="101"/>
      <c r="C84" s="101"/>
      <c r="D84" s="101"/>
      <c r="E84" s="101"/>
      <c r="F84" s="101"/>
      <c r="P84" s="109"/>
    </row>
    <row r="85" spans="1:16">
      <c r="A85" s="1"/>
      <c r="C85" s="1" t="s">
        <v>378</v>
      </c>
      <c r="D85" s="98" t="s">
        <v>351</v>
      </c>
      <c r="P85" s="109"/>
    </row>
    <row r="86" spans="1:16">
      <c r="A86" s="129"/>
      <c r="B86" s="127"/>
      <c r="C86" s="60">
        <v>8</v>
      </c>
      <c r="D86" s="60" t="s">
        <v>20</v>
      </c>
      <c r="E86" s="114" t="s">
        <v>355</v>
      </c>
      <c r="F86" s="114" t="s">
        <v>355</v>
      </c>
      <c r="G86" s="114" t="s">
        <v>189</v>
      </c>
      <c r="H86" s="115"/>
      <c r="I86" s="115"/>
      <c r="J86" s="115"/>
      <c r="K86" s="115"/>
      <c r="L86" s="115"/>
      <c r="M86" s="115"/>
      <c r="N86" s="115"/>
      <c r="O86" s="115"/>
      <c r="P86" s="109"/>
    </row>
    <row r="87" spans="1:16">
      <c r="A87" s="1"/>
      <c r="C87" s="60">
        <v>13</v>
      </c>
      <c r="D87" s="60" t="s">
        <v>17</v>
      </c>
      <c r="E87" s="60" t="s">
        <v>355</v>
      </c>
      <c r="F87" s="60" t="s">
        <v>355</v>
      </c>
      <c r="G87" s="109" t="s">
        <v>190</v>
      </c>
      <c r="P87" s="109"/>
    </row>
    <row r="88" spans="1:16">
      <c r="A88" s="1"/>
      <c r="C88" s="60">
        <v>19</v>
      </c>
      <c r="D88" s="60" t="s">
        <v>3</v>
      </c>
      <c r="E88" s="60" t="s">
        <v>356</v>
      </c>
      <c r="F88" s="60" t="s">
        <v>357</v>
      </c>
      <c r="G88" s="109" t="s">
        <v>191</v>
      </c>
      <c r="P88" s="109"/>
    </row>
    <row r="89" spans="1:16">
      <c r="A89" s="1"/>
      <c r="C89" s="60">
        <v>22</v>
      </c>
      <c r="D89" s="60" t="s">
        <v>18</v>
      </c>
      <c r="E89" s="60" t="s">
        <v>356</v>
      </c>
      <c r="F89" s="60" t="s">
        <v>357</v>
      </c>
      <c r="G89" s="109" t="s">
        <v>192</v>
      </c>
      <c r="P89" s="109"/>
    </row>
    <row r="90" spans="1:16">
      <c r="A90" s="1"/>
      <c r="C90" s="60"/>
      <c r="D90" s="60" t="s">
        <v>19</v>
      </c>
      <c r="E90" s="60" t="s">
        <v>356</v>
      </c>
      <c r="F90" s="60" t="s">
        <v>357</v>
      </c>
      <c r="G90" s="118" t="s">
        <v>193</v>
      </c>
      <c r="H90" s="92"/>
      <c r="I90" s="92"/>
      <c r="J90" s="92"/>
      <c r="K90" s="92"/>
      <c r="L90" s="92"/>
      <c r="M90" s="92"/>
      <c r="N90" s="92"/>
      <c r="O90" s="92"/>
      <c r="P90" s="109"/>
    </row>
    <row r="91" spans="1:16">
      <c r="A91" s="1"/>
      <c r="O91" s="116"/>
      <c r="P91" s="109"/>
    </row>
    <row r="92" spans="1:16">
      <c r="A92" s="100" t="s">
        <v>147</v>
      </c>
      <c r="B92" s="101"/>
      <c r="C92" s="101"/>
      <c r="D92" s="60" t="s">
        <v>148</v>
      </c>
      <c r="O92" s="117"/>
      <c r="P92" s="109"/>
    </row>
    <row r="93" spans="1:16">
      <c r="D93" s="60" t="s">
        <v>149</v>
      </c>
      <c r="O93" s="117"/>
      <c r="P93" s="109"/>
    </row>
    <row r="94" spans="1:16">
      <c r="D94" s="60" t="s">
        <v>150</v>
      </c>
      <c r="O94" s="117"/>
      <c r="P94" s="109"/>
    </row>
    <row r="95" spans="1:16">
      <c r="P95" s="109"/>
    </row>
    <row r="96" spans="1:16">
      <c r="P96" s="109"/>
    </row>
    <row r="97" spans="1:16">
      <c r="A97" s="100" t="s">
        <v>205</v>
      </c>
      <c r="B97" s="101"/>
      <c r="C97" s="101"/>
      <c r="P97" s="109"/>
    </row>
    <row r="98" spans="1:16">
      <c r="B98" s="2"/>
      <c r="C98" s="2"/>
      <c r="D98" s="271" t="s">
        <v>150</v>
      </c>
      <c r="E98" s="271"/>
      <c r="F98" s="59" t="s">
        <v>149</v>
      </c>
      <c r="G98" s="59"/>
      <c r="H98" s="59" t="s">
        <v>148</v>
      </c>
      <c r="I98" s="98"/>
      <c r="P98" s="109"/>
    </row>
    <row r="99" spans="1:16">
      <c r="B99" s="2"/>
      <c r="C99" s="2"/>
      <c r="D99" s="271" t="s">
        <v>194</v>
      </c>
      <c r="E99" s="271"/>
      <c r="F99" s="59" t="s">
        <v>195</v>
      </c>
      <c r="G99" s="59"/>
      <c r="H99" s="59" t="s">
        <v>196</v>
      </c>
      <c r="I99" s="98"/>
    </row>
    <row r="100" spans="1:16">
      <c r="B100" s="2"/>
      <c r="C100" s="2"/>
      <c r="D100" s="59" t="s">
        <v>197</v>
      </c>
      <c r="E100" s="59" t="s">
        <v>198</v>
      </c>
      <c r="F100" s="59" t="s">
        <v>197</v>
      </c>
      <c r="G100" s="59" t="s">
        <v>198</v>
      </c>
      <c r="H100" s="59" t="s">
        <v>197</v>
      </c>
      <c r="I100" s="59" t="s">
        <v>198</v>
      </c>
    </row>
    <row r="101" spans="1:16">
      <c r="B101" s="61" t="s">
        <v>199</v>
      </c>
      <c r="C101" s="61" t="s">
        <v>200</v>
      </c>
      <c r="D101" s="61">
        <v>0</v>
      </c>
      <c r="E101" s="61">
        <v>2</v>
      </c>
      <c r="F101" s="61">
        <v>2</v>
      </c>
      <c r="G101" s="61">
        <v>3</v>
      </c>
      <c r="H101" s="61">
        <v>3</v>
      </c>
      <c r="I101" s="61">
        <v>5</v>
      </c>
    </row>
    <row r="102" spans="1:16">
      <c r="B102" s="64" t="s">
        <v>201</v>
      </c>
      <c r="C102" s="61" t="s">
        <v>202</v>
      </c>
      <c r="D102" s="61">
        <v>20</v>
      </c>
      <c r="E102" s="61">
        <v>25</v>
      </c>
      <c r="F102" s="61">
        <v>25</v>
      </c>
      <c r="G102" s="61">
        <v>30</v>
      </c>
      <c r="H102" s="61">
        <v>30</v>
      </c>
      <c r="I102" s="61">
        <v>35</v>
      </c>
    </row>
    <row r="103" spans="1:16">
      <c r="B103" s="64" t="s">
        <v>203</v>
      </c>
      <c r="C103" s="61" t="s">
        <v>204</v>
      </c>
      <c r="D103" s="61">
        <v>10</v>
      </c>
      <c r="E103" s="61">
        <v>10.5</v>
      </c>
      <c r="F103" s="61">
        <v>10</v>
      </c>
      <c r="G103" s="61">
        <v>10.5</v>
      </c>
      <c r="H103" s="61">
        <v>10</v>
      </c>
      <c r="I103" s="61">
        <v>10.5</v>
      </c>
    </row>
    <row r="104" spans="1:16">
      <c r="P104" s="109"/>
    </row>
    <row r="105" spans="1:16">
      <c r="P105" s="109"/>
    </row>
    <row r="106" spans="1:16">
      <c r="A106" s="100" t="s">
        <v>317</v>
      </c>
      <c r="B106" s="101"/>
      <c r="C106" s="101"/>
      <c r="D106" s="101"/>
      <c r="E106" s="101"/>
      <c r="F106" s="101"/>
      <c r="P106" s="109"/>
    </row>
    <row r="107" spans="1:16">
      <c r="B107" s="93" t="s">
        <v>315</v>
      </c>
      <c r="P107" s="109"/>
    </row>
    <row r="108" spans="1:16">
      <c r="B108" s="93" t="s">
        <v>314</v>
      </c>
      <c r="P108" s="109"/>
    </row>
    <row r="109" spans="1:16">
      <c r="B109" s="93" t="s">
        <v>316</v>
      </c>
      <c r="P109" s="109"/>
    </row>
    <row r="110" spans="1:16">
      <c r="B110" s="93" t="s">
        <v>352</v>
      </c>
      <c r="P110" s="109"/>
    </row>
    <row r="111" spans="1:16" ht="15" customHeight="1">
      <c r="P111" s="109"/>
    </row>
    <row r="112" spans="1:16">
      <c r="B112" s="86" t="s">
        <v>281</v>
      </c>
      <c r="C112" s="87"/>
      <c r="D112" s="88" t="s">
        <v>282</v>
      </c>
      <c r="E112" s="87" t="s">
        <v>283</v>
      </c>
      <c r="F112" s="82"/>
      <c r="G112" s="82"/>
      <c r="H112" s="82"/>
      <c r="I112" s="83"/>
      <c r="P112" s="109"/>
    </row>
    <row r="113" spans="2:16" ht="15" customHeight="1">
      <c r="B113" s="102"/>
      <c r="C113" s="103"/>
      <c r="D113" s="104"/>
      <c r="E113" s="103"/>
      <c r="F113" s="105"/>
      <c r="G113" s="105"/>
      <c r="H113" s="105"/>
      <c r="I113" s="106"/>
      <c r="P113" s="109"/>
    </row>
    <row r="114" spans="2:16" ht="105">
      <c r="B114" s="10" t="s">
        <v>148</v>
      </c>
      <c r="C114" s="4"/>
      <c r="D114" s="84" t="s">
        <v>196</v>
      </c>
      <c r="E114" s="133" t="s">
        <v>284</v>
      </c>
      <c r="F114" s="9"/>
      <c r="G114" s="9"/>
      <c r="H114" s="9"/>
      <c r="I114" s="134"/>
      <c r="P114" s="109"/>
    </row>
    <row r="115" spans="2:16" ht="15" customHeight="1">
      <c r="B115" s="10"/>
      <c r="C115" s="4"/>
      <c r="D115" s="84"/>
      <c r="E115" s="135"/>
      <c r="F115" s="41"/>
      <c r="G115" s="41"/>
      <c r="H115" s="41"/>
      <c r="I115" s="136"/>
      <c r="P115" s="109"/>
    </row>
    <row r="116" spans="2:16" ht="75">
      <c r="B116" s="89" t="s">
        <v>149</v>
      </c>
      <c r="C116" s="90"/>
      <c r="D116" s="91" t="s">
        <v>287</v>
      </c>
      <c r="E116" s="137" t="s">
        <v>285</v>
      </c>
      <c r="F116" s="138"/>
      <c r="G116" s="138"/>
      <c r="H116" s="138"/>
      <c r="I116" s="139"/>
      <c r="P116" s="109"/>
    </row>
    <row r="117" spans="2:16">
      <c r="B117" s="40"/>
      <c r="C117" s="30"/>
      <c r="D117" s="85"/>
      <c r="E117" s="135"/>
      <c r="F117" s="41"/>
      <c r="G117" s="41"/>
      <c r="H117" s="41"/>
      <c r="I117" s="136"/>
      <c r="P117" s="109"/>
    </row>
    <row r="118" spans="2:16" ht="90">
      <c r="B118" s="10" t="s">
        <v>150</v>
      </c>
      <c r="C118" s="4"/>
      <c r="D118" s="84" t="s">
        <v>194</v>
      </c>
      <c r="E118" s="137" t="s">
        <v>286</v>
      </c>
      <c r="F118" s="138"/>
      <c r="G118" s="138"/>
      <c r="H118" s="138"/>
      <c r="I118" s="139"/>
      <c r="P118" s="109"/>
    </row>
    <row r="119" spans="2:16">
      <c r="B119" s="10"/>
      <c r="C119" s="4"/>
      <c r="D119" s="84"/>
      <c r="E119" s="133"/>
      <c r="F119" s="9"/>
      <c r="G119" s="9"/>
      <c r="H119" s="9"/>
      <c r="I119" s="134"/>
      <c r="P119" s="109"/>
    </row>
    <row r="120" spans="2:16">
      <c r="B120" s="40"/>
      <c r="C120" s="30"/>
      <c r="D120" s="85"/>
      <c r="E120" s="135"/>
      <c r="F120" s="41"/>
      <c r="G120" s="41"/>
      <c r="H120" s="41"/>
      <c r="I120" s="136"/>
      <c r="P120" s="109"/>
    </row>
    <row r="121" spans="2:16">
      <c r="P121" s="109"/>
    </row>
    <row r="122" spans="2:16">
      <c r="P122" s="109"/>
    </row>
    <row r="123" spans="2:16">
      <c r="P123" s="109"/>
    </row>
    <row r="124" spans="2:16">
      <c r="P124" s="109"/>
    </row>
  </sheetData>
  <mergeCells count="4">
    <mergeCell ref="P47:P48"/>
    <mergeCell ref="E11:G11"/>
    <mergeCell ref="D98:E98"/>
    <mergeCell ref="D99:E99"/>
  </mergeCells>
  <phoneticPr fontId="36" type="noConversion"/>
  <conditionalFormatting sqref="V17:AB28">
    <cfRule type="cellIs" dxfId="4" priority="1" operator="lessThan">
      <formula>5</formula>
    </cfRule>
    <cfRule type="cellIs" dxfId="3" priority="2" operator="between">
      <formula>5</formula>
      <formula>20</formula>
    </cfRule>
    <cfRule type="cellIs" dxfId="2" priority="3" operator="between">
      <formula>20</formula>
      <formula>50</formula>
    </cfRule>
    <cfRule type="cellIs" dxfId="1" priority="4" operator="between">
      <formula>100</formula>
      <formula>50</formula>
    </cfRule>
    <cfRule type="cellIs" dxfId="0" priority="5" operator="greaterThanOrEqual">
      <formula>100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71FFD1B571BE2883E0537D20C80A46C7" version="1.0.0">
  <systemFields>
    <field name="Objective-Id">
      <value order="0">A3967034</value>
    </field>
    <field name="Objective-Title">
      <value order="0">0 - PeatlandACTION Blanket Bog Protocol v1.3 ISSUE - March 2023</value>
    </field>
    <field name="Objective-Description">
      <value order="0"/>
    </field>
    <field name="Objective-CreationStamp">
      <value order="0">2023-04-20T12:58:36Z</value>
    </field>
    <field name="Objective-IsApproved">
      <value order="0">false</value>
    </field>
    <field name="Objective-IsPublished">
      <value order="0">true</value>
    </field>
    <field name="Objective-DatePublished">
      <value order="0">2023-04-20T13:02:15Z</value>
    </field>
    <field name="Objective-ModificationStamp">
      <value order="0">2023-04-20T13:04:30Z</value>
    </field>
    <field name="Objective-Owner">
      <value order="0">Christina Wood</value>
    </field>
    <field name="Objective-Path">
      <value order="0">Objective Global Folder:NatureScot Fileplan:NAT - Natural Environments:PEAT - Peat and Fens:PA - Peatland Action:PRO - Projects:Peatland Action - Projects - Peatslide Risks - Addressing Peatslide Risks in PA Restoration Activities (ibid 017197) - 2018/2019</value>
    </field>
    <field name="Objective-Parent">
      <value order="0">Peatland Action - Projects - Peatslide Risks - Addressing Peatslide Risks in PA Restoration Activities (ibid 017197) - 2018/2019</value>
    </field>
    <field name="Objective-State">
      <value order="0">Published</value>
    </field>
    <field name="Objective-VersionId">
      <value order="0">vA6952897</value>
    </field>
    <field name="Objective-Version">
      <value order="0">1.0</value>
    </field>
    <field name="Objective-VersionNumber">
      <value order="0">1</value>
    </field>
    <field name="Objective-VersionComment">
      <value order="0"/>
    </field>
    <field name="Objective-FileNumber">
      <value order="0">qA157639</value>
    </field>
    <field name="Objective-Classification">
      <value order="0"/>
    </field>
    <field name="Objective-Caveats">
      <value order="0"/>
    </field>
  </systemFields>
  <catalogues>
    <catalogue name="Document Type Catalogue" type="type" ori="id:cA8">
      <field name="Objective-Date of Original">
        <value order="0"/>
      </field>
      <field name="Objective-Sensitivity Review Date">
        <value order="0"/>
      </field>
      <field name="Objective-FOI Exemption">
        <value order="0">Release</value>
      </field>
      <field name="Objective-DPA Exemption">
        <value order="0">Release</value>
      </field>
      <field name="Objective-EIR Exception">
        <value order="0">Release</value>
      </field>
      <field name="Objective-Justification">
        <value order="0"/>
      </field>
      <field name="Objective-Date of Request">
        <value order="0"/>
      </field>
      <field name="Objective-Date of Release">
        <value order="0"/>
      </field>
      <field name="Objective-FOI/EIR Disclosure Date">
        <value order="0"/>
      </field>
      <field name="Objective-FOI/EIR Dissemination Date">
        <value order="0"/>
      </field>
      <field name="Objective-FOI Release Details">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71FFD1B571BE2883E0537D20C80A46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Front Sheet</vt:lpstr>
      <vt:lpstr>1. Pre-Restoration Likelihood</vt:lpstr>
      <vt:lpstr>2. Post-restoration Likelihood</vt:lpstr>
      <vt:lpstr>3. Consequence and Risk</vt:lpstr>
      <vt:lpstr>Summary Form</vt:lpstr>
      <vt:lpstr>Drop Down Options</vt:lpstr>
      <vt:lpstr>'Summary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Mills</dc:creator>
  <cp:lastModifiedBy>Andy Mills</cp:lastModifiedBy>
  <cp:lastPrinted>2024-02-26T13:51:00Z</cp:lastPrinted>
  <dcterms:created xsi:type="dcterms:W3CDTF">2019-11-26T18:00:38Z</dcterms:created>
  <dcterms:modified xsi:type="dcterms:W3CDTF">2024-02-28T16:18:27Z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A3967034</vt:lpwstr>
  </property>
  <property fmtid="{D5CDD505-2E9C-101B-9397-08002B2CF9AE}" pid="4" name="Objective-Title">
    <vt:lpwstr>0 - PeatlandACTION Blanket Bog Protocol v1.3 ISSUE - March 2023</vt:lpwstr>
  </property>
  <property fmtid="{D5CDD505-2E9C-101B-9397-08002B2CF9AE}" pid="5" name="Objective-Description">
    <vt:lpwstr/>
  </property>
  <property fmtid="{D5CDD505-2E9C-101B-9397-08002B2CF9AE}" pid="6" name="Objective-CreationStamp">
    <vt:filetime>2023-04-20T12:58:36Z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2023-04-20T13:02:15Z</vt:filetime>
  </property>
  <property fmtid="{D5CDD505-2E9C-101B-9397-08002B2CF9AE}" pid="10" name="Objective-ModificationStamp">
    <vt:filetime>2023-04-20T13:04:30Z</vt:filetime>
  </property>
  <property fmtid="{D5CDD505-2E9C-101B-9397-08002B2CF9AE}" pid="11" name="Objective-Owner">
    <vt:lpwstr>Christina Wood</vt:lpwstr>
  </property>
  <property fmtid="{D5CDD505-2E9C-101B-9397-08002B2CF9AE}" pid="12" name="Objective-Path">
    <vt:lpwstr>Objective Global Folder:NatureScot Fileplan:NAT - Natural Environments:PEAT - Peat and Fens:PA - Peatland Action:PRO - Projects:Peatland Action - Projects - Peatslide Risks - Addressing Peatslide Risks in PA Restoration Activities (ibid 017197) - 2018/201</vt:lpwstr>
  </property>
  <property fmtid="{D5CDD505-2E9C-101B-9397-08002B2CF9AE}" pid="13" name="Objective-Parent">
    <vt:lpwstr>Peatland Action - Projects - Peatslide Risks - Addressing Peatslide Risks in PA Restoration Activities (ibid 017197) - 2018/2019</vt:lpwstr>
  </property>
  <property fmtid="{D5CDD505-2E9C-101B-9397-08002B2CF9AE}" pid="14" name="Objective-State">
    <vt:lpwstr>Published</vt:lpwstr>
  </property>
  <property fmtid="{D5CDD505-2E9C-101B-9397-08002B2CF9AE}" pid="15" name="Objective-VersionId">
    <vt:lpwstr>vA6952897</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qA157639</vt:lpwstr>
  </property>
  <property fmtid="{D5CDD505-2E9C-101B-9397-08002B2CF9AE}" pid="20" name="Objective-Classification">
    <vt:lpwstr/>
  </property>
  <property fmtid="{D5CDD505-2E9C-101B-9397-08002B2CF9AE}" pid="21" name="Objective-Caveats">
    <vt:lpwstr/>
  </property>
  <property fmtid="{D5CDD505-2E9C-101B-9397-08002B2CF9AE}" pid="22" name="Objective-Date of Original">
    <vt:lpwstr/>
  </property>
  <property fmtid="{D5CDD505-2E9C-101B-9397-08002B2CF9AE}" pid="23" name="Objective-Sensitivity Review Date">
    <vt:lpwstr/>
  </property>
  <property fmtid="{D5CDD505-2E9C-101B-9397-08002B2CF9AE}" pid="24" name="Objective-FOI Exemption">
    <vt:lpwstr>Release</vt:lpwstr>
  </property>
  <property fmtid="{D5CDD505-2E9C-101B-9397-08002B2CF9AE}" pid="25" name="Objective-DPA Exemption">
    <vt:lpwstr>Release</vt:lpwstr>
  </property>
  <property fmtid="{D5CDD505-2E9C-101B-9397-08002B2CF9AE}" pid="26" name="Objective-EIR Exception">
    <vt:lpwstr>Release</vt:lpwstr>
  </property>
  <property fmtid="{D5CDD505-2E9C-101B-9397-08002B2CF9AE}" pid="27" name="Objective-Justification">
    <vt:lpwstr/>
  </property>
  <property fmtid="{D5CDD505-2E9C-101B-9397-08002B2CF9AE}" pid="28" name="Objective-Date of Request">
    <vt:lpwstr/>
  </property>
  <property fmtid="{D5CDD505-2E9C-101B-9397-08002B2CF9AE}" pid="29" name="Objective-Date of Release">
    <vt:lpwstr/>
  </property>
  <property fmtid="{D5CDD505-2E9C-101B-9397-08002B2CF9AE}" pid="30" name="Objective-FOI/EIR Disclosure Date">
    <vt:lpwstr/>
  </property>
  <property fmtid="{D5CDD505-2E9C-101B-9397-08002B2CF9AE}" pid="31" name="Objective-FOI/EIR Dissemination Date">
    <vt:lpwstr/>
  </property>
  <property fmtid="{D5CDD505-2E9C-101B-9397-08002B2CF9AE}" pid="32" name="Objective-FOI Release Details">
    <vt:lpwstr/>
  </property>
  <property fmtid="{D5CDD505-2E9C-101B-9397-08002B2CF9AE}" pid="33" name="Objective-Connect Creator">
    <vt:lpwstr/>
  </property>
</Properties>
</file>